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Users\leszek.szymanski.AP\Desktop\aluplast\Rolety\Formularze zamówień\"/>
    </mc:Choice>
  </mc:AlternateContent>
  <xr:revisionPtr revIDLastSave="0" documentId="13_ncr:1_{F24545A1-9197-4295-8E44-96D24A4585C2}" xr6:coauthVersionLast="40" xr6:coauthVersionMax="40" xr10:uidLastSave="{00000000-0000-0000-0000-000000000000}"/>
  <workbookProtection workbookAlgorithmName="SHA-512" workbookHashValue="HQSRVQ4Dk+qcYDwkqZWzJgfmmN3eIcIsbfgcmawerw3yhYTinq6L4YeHnbpsoqYogRE/eObJvEXzNvWnuANxag==" workbookSaltValue="NrX1D/uhLMSyn3e1DWjY+w==" workbookSpinCount="100000" lockStructure="1"/>
  <bookViews>
    <workbookView xWindow="-108" yWindow="-108" windowWidth="23256" windowHeight="12600" tabRatio="915" xr2:uid="{00000000-000D-0000-FFFF-FFFF00000000}"/>
  </bookViews>
  <sheets>
    <sheet name="Formularz RN" sheetId="23" r:id="rId1"/>
    <sheet name="Info" sheetId="24" state="veryHidden" r:id="rId2"/>
  </sheets>
  <definedNames>
    <definedName name="kątownikwewnętrzny">Info!$AN$2:$AN$7</definedName>
    <definedName name="KĄTOWNIKZEWNĘTRZNY">Info!$AM$2:$AM$7</definedName>
    <definedName name="KOLORYSTYKA_PANCERZY">Info!$U$2:$U$30</definedName>
    <definedName name="LISTWA_DOLNA">Info!$V$2:$V$15</definedName>
    <definedName name="MARKASILNIKAELEKTRYCZNEGO">Info!$AT$2:$AT$8</definedName>
    <definedName name="MOSKITIERA">Info!$AI$2:$AI$3</definedName>
    <definedName name="PAKOWANIEROLET">Info!$AQ$2:$AQ$4</definedName>
    <definedName name="PODCIĘCIEPROWADNICY">Info!$AP$2:$AP$7</definedName>
    <definedName name="REWIZJA">Info!$AK$2:$AK$4</definedName>
    <definedName name="RNKB_1">Info!$Q$3:$Q$22</definedName>
    <definedName name="RNKB_2">Info!$R$3:$R$20</definedName>
    <definedName name="RNKB_3">Info!$S$3:$S$19</definedName>
    <definedName name="RNKB_4">Info!$T$3:$T$22</definedName>
    <definedName name="RNKBLAMELE">Info!$AD$2:$AD$3</definedName>
    <definedName name="RNKBSKRZYNKA">Info!$Y$2:$Y$4</definedName>
    <definedName name="RNKE_1">Info!$M$3:$M$43</definedName>
    <definedName name="RNKE_2">Info!$N$3:$N$43</definedName>
    <definedName name="RNKE_3">Info!$O$3:$O$43</definedName>
    <definedName name="RNKE_4">Info!$P$3:$P$48</definedName>
    <definedName name="RNKELAMELE">Info!$AF$2:$AF$6</definedName>
    <definedName name="RNKESKRZYNKA">Info!$AA$2:$AA$4</definedName>
    <definedName name="RNKXT_1">Info!$I$3:$I$46</definedName>
    <definedName name="RNKXT_2">Info!$J$3:$J$47</definedName>
    <definedName name="RNKXT_3">Info!$K$3:$K$47</definedName>
    <definedName name="RNKXT_4">Info!$L$3:$L$48</definedName>
    <definedName name="RNKXTLAMELE">Info!$AE$2:$AE$5</definedName>
    <definedName name="RNKXTSKRZYNKA">Info!$Z$2:$Z$4</definedName>
    <definedName name="RNS_1">Info!$F$3:$F$48</definedName>
    <definedName name="RNS_2">Info!$G$3:$G$48</definedName>
    <definedName name="RNS_4">Info!$H$3:$H$49</definedName>
    <definedName name="RNSLAMELE">Info!$AC$2:$AC$6</definedName>
    <definedName name="RNSSKRZYNKA">Info!$X$2:$X$4</definedName>
    <definedName name="rodzaj">Info!$B$2:$B$3</definedName>
    <definedName name="RURA">Info!$AG$2:$AG$4</definedName>
    <definedName name="STEROWANIEELEKTRYCZNE">Info!$AS$2:$AS$9</definedName>
    <definedName name="STEROWANIENAPĘDU">Info!$AJ$2:$AJ$5</definedName>
    <definedName name="STEROWANIERĘCZNE">Info!$AR$2:$AR$12</definedName>
    <definedName name="system">Info!$A$2:$A$5</definedName>
    <definedName name="SYSTEMYOKIENNE">Info!$AL$2:$AL$22</definedName>
    <definedName name="WYSOKOŚĆ">Info!$C$2:$C$3</definedName>
    <definedName name="zabezpieczenieprzedpodniesieniem">Info!$AH$2:$AH$5</definedName>
    <definedName name="ZAŚLEPKIPROWADNICY">Info!$AO$2:$AO$3</definedName>
    <definedName name="zestawrolet">Info!$D$2:$D$6</definedName>
  </definedNames>
  <calcPr calcId="18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23" l="1"/>
  <c r="A26" i="23" l="1"/>
  <c r="A25" i="23"/>
  <c r="AN6" i="24" l="1"/>
  <c r="AN5" i="24"/>
  <c r="I3" i="23" l="1"/>
  <c r="K3" i="23" s="1"/>
  <c r="K2" i="23"/>
  <c r="AN3" i="24"/>
  <c r="A27" i="23" l="1"/>
  <c r="A30" i="23"/>
  <c r="B31" i="23" s="1"/>
  <c r="AN4" i="24"/>
  <c r="AN7" i="24"/>
  <c r="AM7" i="24"/>
  <c r="AM5" i="24"/>
  <c r="AM6" i="24"/>
  <c r="AM4" i="24"/>
  <c r="B30" i="23" l="1"/>
  <c r="AM3" i="24"/>
  <c r="AN2" i="24"/>
  <c r="AM2" i="24"/>
  <c r="AK4" i="24"/>
  <c r="AK2" i="24"/>
  <c r="AK3" i="24"/>
  <c r="AL2" i="24"/>
  <c r="AL22" i="24"/>
  <c r="AL21" i="24"/>
  <c r="AL20" i="24"/>
  <c r="AL19" i="24"/>
  <c r="AL18" i="24"/>
  <c r="AL17" i="24"/>
  <c r="AL16" i="24"/>
  <c r="AL15" i="24"/>
  <c r="AL14" i="24"/>
  <c r="AL13" i="24"/>
  <c r="AL12" i="24"/>
  <c r="AL11" i="24"/>
  <c r="AL10" i="24"/>
  <c r="AL9" i="24"/>
  <c r="AL8" i="24"/>
  <c r="AL7" i="24"/>
  <c r="AL6" i="24"/>
  <c r="AL5" i="24"/>
  <c r="AL4" i="24"/>
  <c r="AL3" i="24"/>
  <c r="AG4" i="24"/>
  <c r="AG3" i="24"/>
  <c r="AG2" i="24"/>
  <c r="AB2" i="24"/>
  <c r="W2" i="24"/>
  <c r="H2" i="24" l="1"/>
  <c r="T2" i="24"/>
  <c r="S2" i="24"/>
  <c r="R2" i="24"/>
  <c r="P2" i="24"/>
  <c r="O2" i="24"/>
  <c r="N2" i="24"/>
  <c r="J2" i="24"/>
  <c r="E9" i="24"/>
  <c r="E10" i="24"/>
  <c r="M2" i="24"/>
  <c r="Q2" i="24"/>
  <c r="F2" i="24"/>
  <c r="E8" i="24"/>
  <c r="E7" i="24"/>
  <c r="L2" i="24"/>
  <c r="K2" i="24"/>
  <c r="I2" i="24"/>
  <c r="G2" i="24"/>
  <c r="A9" i="23" l="1"/>
</calcChain>
</file>

<file path=xl/sharedStrings.xml><?xml version="1.0" encoding="utf-8"?>
<sst xmlns="http://schemas.openxmlformats.org/spreadsheetml/2006/main" count="762" uniqueCount="220">
  <si>
    <t>RNK/B</t>
  </si>
  <si>
    <t>RNK/XT</t>
  </si>
  <si>
    <t>RNK/E</t>
  </si>
  <si>
    <t>RNS</t>
  </si>
  <si>
    <t>system</t>
  </si>
  <si>
    <t>rodzaj</t>
  </si>
  <si>
    <t>WYCENA:</t>
  </si>
  <si>
    <t>ZAMÓWIENIE:</t>
  </si>
  <si>
    <t>Wysokość</t>
  </si>
  <si>
    <t>Szerokość całkowita</t>
  </si>
  <si>
    <t>wysokość</t>
  </si>
  <si>
    <t>okna</t>
  </si>
  <si>
    <t>całkowita</t>
  </si>
  <si>
    <t>Ilość</t>
  </si>
  <si>
    <t>Zestaw rolet</t>
  </si>
  <si>
    <t>zestaw rolet</t>
  </si>
  <si>
    <t>2-1</t>
  </si>
  <si>
    <t>2-2</t>
  </si>
  <si>
    <t>3-1</t>
  </si>
  <si>
    <t>3-2</t>
  </si>
  <si>
    <t>3-3</t>
  </si>
  <si>
    <t>Rozmiar pancerza</t>
  </si>
  <si>
    <t>Rura</t>
  </si>
  <si>
    <t>Moskitiera</t>
  </si>
  <si>
    <t>Wysokość skrzynki</t>
  </si>
  <si>
    <t>Kolorystyka profilu zewnętrznego</t>
  </si>
  <si>
    <t>Kolorystyka profilu wewnętrznego</t>
  </si>
  <si>
    <t>Kolorystyka prowadnic</t>
  </si>
  <si>
    <t>Kolorystyka pancerzy</t>
  </si>
  <si>
    <t>Kolorystyka listwy dolnej</t>
  </si>
  <si>
    <t>00 RDZEŃ BIAŁY</t>
  </si>
  <si>
    <t>01 DĄB SPECJALNY</t>
  </si>
  <si>
    <t>02 DĄB NATURALNY</t>
  </si>
  <si>
    <t>05 MAHOŃ</t>
  </si>
  <si>
    <t>06 CIEMNY DĄB</t>
  </si>
  <si>
    <t>11 DAGLEZJA</t>
  </si>
  <si>
    <t>15 OREGON III</t>
  </si>
  <si>
    <t>17 DĄB RUSTYKALNY</t>
  </si>
  <si>
    <t>23 ZŁOTY DĄB</t>
  </si>
  <si>
    <t>27 ORZECH</t>
  </si>
  <si>
    <t>28 WALNUSS TERRA</t>
  </si>
  <si>
    <t>29 WALNUSS AMARETTO</t>
  </si>
  <si>
    <t>30 CIEMNY ZIELONY</t>
  </si>
  <si>
    <t>32 CIEMNY CZERWONY</t>
  </si>
  <si>
    <t>33 PALISANDER</t>
  </si>
  <si>
    <t>34 SZARY</t>
  </si>
  <si>
    <t>35 JASNY ZIELONY</t>
  </si>
  <si>
    <t>37 JASNY CZERWONY</t>
  </si>
  <si>
    <t>39 CZEKOLADA</t>
  </si>
  <si>
    <t>40 SZARY ANTRACYT</t>
  </si>
  <si>
    <t>41 STALOWY NIEBIESKI</t>
  </si>
  <si>
    <t>43 ZIELEŃ MOOSGRUN</t>
  </si>
  <si>
    <t>44 BIAŁY</t>
  </si>
  <si>
    <t>45 BRĄZ ŚREDNI</t>
  </si>
  <si>
    <t>47 NIEBIESKI BRYLANTOWY</t>
  </si>
  <si>
    <t>48 JASNY SZARY</t>
  </si>
  <si>
    <t>49 KREMOWY</t>
  </si>
  <si>
    <t>52 BRZOZA</t>
  </si>
  <si>
    <t>56 ROSEWOOD</t>
  </si>
  <si>
    <t>60 ANTRACYT PIASKOWY</t>
  </si>
  <si>
    <t>61 SZARY PIASKOWY</t>
  </si>
  <si>
    <t>62 SZARY BAZALTOWY</t>
  </si>
  <si>
    <t>63 ALUMINIUM SZCZOTKOWANE</t>
  </si>
  <si>
    <t>65 KWARC PIASKOWY</t>
  </si>
  <si>
    <t>68 CREMEWEISS F 456-5001</t>
  </si>
  <si>
    <t>71 JET BLACK MATT</t>
  </si>
  <si>
    <t>75 SHEFFIELD OAK LIGHT</t>
  </si>
  <si>
    <t>79 ALUX DB 703</t>
  </si>
  <si>
    <t>86 PAPYRUSWEISS 456-5058</t>
  </si>
  <si>
    <t>87 KIESELGRAU 436-5033</t>
  </si>
  <si>
    <t>89 SCHWARZBRAUN MATT</t>
  </si>
  <si>
    <t>90 SEIDENGRAU</t>
  </si>
  <si>
    <t>91 BETONGRAU 436-5038</t>
  </si>
  <si>
    <t>95 WINCHESTER</t>
  </si>
  <si>
    <t>99 KWARC</t>
  </si>
  <si>
    <t>RAL</t>
  </si>
  <si>
    <t>94 SHEFFIELD OAK GREY 436-3086</t>
  </si>
  <si>
    <t>93 SHEFFIELD OAK BROWN 436-3087</t>
  </si>
  <si>
    <t>RNK/XT kolor. profilu wewnętrznego</t>
  </si>
  <si>
    <t>RNK/XT kolor. rewizji</t>
  </si>
  <si>
    <t>RNK/XT kolor. prowadnicy</t>
  </si>
  <si>
    <t>RNK/XT kolor. profilu zewnętrznego</t>
  </si>
  <si>
    <t>RNS kolor. prowadnicy</t>
  </si>
  <si>
    <t>RNS kolor. profilu wewnętrznego</t>
  </si>
  <si>
    <t>RNS kolor. profilu zewnętrznego</t>
  </si>
  <si>
    <t>RNK/E kolor. profilu zewnętrznego</t>
  </si>
  <si>
    <t>RNK/E kolor. profilu wewnętrznego</t>
  </si>
  <si>
    <t>RNK/E kolor. rewizji</t>
  </si>
  <si>
    <t>RNK/E kolor. prowadnicy</t>
  </si>
  <si>
    <t>RNK/B kolor. profilu zewnętrznego</t>
  </si>
  <si>
    <t>RNK/B kolor. profilu wewnętrznego</t>
  </si>
  <si>
    <t>RNK/B kolor. rewizja</t>
  </si>
  <si>
    <t>RNK/B kolor. prowadnice</t>
  </si>
  <si>
    <t>01 BIAŁY</t>
  </si>
  <si>
    <t>02 BEŻOWY</t>
  </si>
  <si>
    <t>03 BRĄZOWY</t>
  </si>
  <si>
    <t>04 CIEMNOBRĄZOWY</t>
  </si>
  <si>
    <t>06 WENGE</t>
  </si>
  <si>
    <t>11 ULTRA BIAŁY</t>
  </si>
  <si>
    <t>21 JASNE DREWNO</t>
  </si>
  <si>
    <t>22 CIEMNE DREWNO</t>
  </si>
  <si>
    <t>25 DREWNOPODOBNY MAHOŃ</t>
  </si>
  <si>
    <t>23 DREWNOPODOBNY ZŁOTY DĄB</t>
  </si>
  <si>
    <t>27 DREWNOPODOBNY ORZECH</t>
  </si>
  <si>
    <t>28 DREWNOPODOBNY WINCHESTER</t>
  </si>
  <si>
    <t>30 JASNY SZARY</t>
  </si>
  <si>
    <t>32 SZARY</t>
  </si>
  <si>
    <t>33 CIEMNOBEŻOWY</t>
  </si>
  <si>
    <t>37 BAZALTOWY SZARY</t>
  </si>
  <si>
    <t>38 KWARCOWY SZARY</t>
  </si>
  <si>
    <t>39 BETONOWY SZARY</t>
  </si>
  <si>
    <t>41 BIEL KREMOWA</t>
  </si>
  <si>
    <t>42 ZIELONY</t>
  </si>
  <si>
    <t>43 SZARY ANTRACYT</t>
  </si>
  <si>
    <t>44 NIEBIESKI (STAL)</t>
  </si>
  <si>
    <t>45 CZERWONY</t>
  </si>
  <si>
    <t>46 CZARNY</t>
  </si>
  <si>
    <t>47 ZIELEŃ JODŁOWA</t>
  </si>
  <si>
    <t>48 ŻÓŁTY</t>
  </si>
  <si>
    <t>49 BORDO</t>
  </si>
  <si>
    <t>50 KOŚĆ SŁONIOWA</t>
  </si>
  <si>
    <t>Listwa dolna</t>
  </si>
  <si>
    <t>00 NIELAKIEROWANY</t>
  </si>
  <si>
    <t>10 SUROWY ANODOWANY</t>
  </si>
  <si>
    <t>31 SREBRNY</t>
  </si>
  <si>
    <t>Koloryst. Rewizji</t>
  </si>
  <si>
    <t>RNSSKRZYNKA</t>
  </si>
  <si>
    <t>RNKXTSKRZYNKA</t>
  </si>
  <si>
    <t>RNKESKRZYNKA</t>
  </si>
  <si>
    <t>RNKBSKRZYNKA</t>
  </si>
  <si>
    <t>Wysokość lameli</t>
  </si>
  <si>
    <t>ALU39</t>
  </si>
  <si>
    <t>ALU45</t>
  </si>
  <si>
    <t>ALU52</t>
  </si>
  <si>
    <t>PVC37</t>
  </si>
  <si>
    <t>PVC52</t>
  </si>
  <si>
    <t>RNSLAMELE</t>
  </si>
  <si>
    <t>RNKBLAMELE</t>
  </si>
  <si>
    <t>RNKXTLAMELE</t>
  </si>
  <si>
    <t>RNKELAMELE</t>
  </si>
  <si>
    <t>RURA</t>
  </si>
  <si>
    <t xml:space="preserve">MOSKITIERA </t>
  </si>
  <si>
    <t>TAK</t>
  </si>
  <si>
    <t>NIE</t>
  </si>
  <si>
    <t>STEROWANIE NAPĘDU</t>
  </si>
  <si>
    <t>SYSTEMY OKIENNE</t>
  </si>
  <si>
    <t>KĄTOWNIK ZEWNĘTRZNY</t>
  </si>
  <si>
    <t>KĄTOWNIK WEWNĘTRZNY</t>
  </si>
  <si>
    <t>Rewizja</t>
  </si>
  <si>
    <t>REWIZJA</t>
  </si>
  <si>
    <t>ZAŚLEPKI PROWADNICY</t>
  </si>
  <si>
    <t>Podcięcie prowadnicy</t>
  </si>
  <si>
    <t>PODCIĘCIE PROWADNICY</t>
  </si>
  <si>
    <t>3˚</t>
  </si>
  <si>
    <t>4˚</t>
  </si>
  <si>
    <t>5˚</t>
  </si>
  <si>
    <t>6˚</t>
  </si>
  <si>
    <t>7˚</t>
  </si>
  <si>
    <t>BRAK</t>
  </si>
  <si>
    <t>0˚</t>
  </si>
  <si>
    <t>Pakowanie rolet</t>
  </si>
  <si>
    <t>pakowanie rolet</t>
  </si>
  <si>
    <t>RĘKAW FOLIOWY</t>
  </si>
  <si>
    <t>KARTON</t>
  </si>
  <si>
    <t>ręczne</t>
  </si>
  <si>
    <t>elektryczne</t>
  </si>
  <si>
    <t>sterowanie ręczne</t>
  </si>
  <si>
    <t>ZPK</t>
  </si>
  <si>
    <t>PKS</t>
  </si>
  <si>
    <t>PKR</t>
  </si>
  <si>
    <t>PKO</t>
  </si>
  <si>
    <t>SPR</t>
  </si>
  <si>
    <t>ZABUDOWA SKRZYNKI</t>
  </si>
  <si>
    <t>sterowanie elektryczne</t>
  </si>
  <si>
    <t>RADIOWE</t>
  </si>
  <si>
    <t>PRZECIĄŻ. PRZEW.</t>
  </si>
  <si>
    <t>PRZECIĄŻ. RADIO</t>
  </si>
  <si>
    <t>AWAR. OTW. RADIO</t>
  </si>
  <si>
    <t>AWAR. OTW. PRZEW.</t>
  </si>
  <si>
    <t>Marka silnika elektr.</t>
  </si>
  <si>
    <t>marka silnika elektrycznego</t>
  </si>
  <si>
    <t>STD</t>
  </si>
  <si>
    <t>SOMFY</t>
  </si>
  <si>
    <t>SIMU</t>
  </si>
  <si>
    <t>SELVE</t>
  </si>
  <si>
    <t>YOODA</t>
  </si>
  <si>
    <t>UWAGII</t>
  </si>
  <si>
    <t>Wyjście napędu</t>
  </si>
  <si>
    <t>PRZEWO- DOWE</t>
  </si>
  <si>
    <t>Potwierdzam do produkcji (pieczątka i podpis)</t>
  </si>
  <si>
    <t>Rodzaj napędu</t>
  </si>
  <si>
    <t>Sterowanie</t>
  </si>
  <si>
    <t>PRAWA A</t>
  </si>
  <si>
    <t>LEWA B</t>
  </si>
  <si>
    <t>LEWA A</t>
  </si>
  <si>
    <t>PRAWA B</t>
  </si>
  <si>
    <t>nr:</t>
  </si>
  <si>
    <t>z dnia:</t>
  </si>
  <si>
    <t>NIP:</t>
  </si>
  <si>
    <t>Kontakt do osoby wypełniającej formularz:</t>
  </si>
  <si>
    <t>Adres mailowy</t>
  </si>
  <si>
    <t>System rolet:</t>
  </si>
  <si>
    <t>ZP13N</t>
  </si>
  <si>
    <t>ZP13P</t>
  </si>
  <si>
    <t>ZPP14</t>
  </si>
  <si>
    <t>ZWP5</t>
  </si>
  <si>
    <t>ZWP9</t>
  </si>
  <si>
    <t>Zatyczka prowadnic</t>
  </si>
  <si>
    <t>zabezpieczenie przed podniesieniem</t>
  </si>
  <si>
    <t>XXX</t>
  </si>
  <si>
    <t>WIESZAK BLOKADA</t>
  </si>
  <si>
    <t>RYGIEL RĘCZNY</t>
  </si>
  <si>
    <t>Dodatk. zabezpieczenie</t>
  </si>
  <si>
    <t>ZAMEK BASKWIL.</t>
  </si>
  <si>
    <t>ZALEŻNY</t>
  </si>
  <si>
    <t>Imię i nazwisko</t>
  </si>
  <si>
    <t>Tel. kontaktowy</t>
  </si>
  <si>
    <t>Nazwa firmy</t>
  </si>
  <si>
    <t>Miasto</t>
  </si>
  <si>
    <t>Adres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</si>
</sst>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Cambria"/>
      <family val="1"/>
      <charset val="238"/>
    </font>
    <font>
      <sz val="7"/>
      <color theme="1"/>
      <name val="Cambria"/>
      <family val="1"/>
      <charset val="238"/>
    </font>
    <font>
      <b/>
      <sz val="10"/>
      <color theme="1"/>
      <name val="Cambria"/>
      <family val="1"/>
      <charset val="238"/>
    </font>
    <font>
      <sz val="8"/>
      <color theme="1"/>
      <name val="Cambria"/>
      <family val="1"/>
      <charset val="238"/>
    </font>
    <font>
      <sz val="5"/>
      <color theme="1"/>
      <name val="Cambria"/>
      <family val="1"/>
      <charset val="238"/>
    </font>
    <font>
      <b/>
      <sz val="16"/>
      <color theme="1"/>
      <name val="Cambria"/>
      <family val="1"/>
      <charset val="238"/>
    </font>
    <font>
      <b/>
      <sz val="9"/>
      <color theme="1"/>
      <name val="Cambria"/>
      <family val="1"/>
      <charset val="238"/>
    </font>
    <font>
      <b/>
      <sz val="14"/>
      <color theme="1"/>
      <name val="Cambria"/>
      <family val="1"/>
      <charset val="238"/>
    </font>
    <font>
      <sz val="11"/>
      <color theme="0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right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shrinkToFi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right" vertical="center"/>
      <protection hidden="1"/>
    </xf>
    <xf numFmtId="0" fontId="3" fillId="0" borderId="2" xfId="0" applyFont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Protection="1">
      <protection hidden="1"/>
    </xf>
    <xf numFmtId="49" fontId="9" fillId="0" borderId="0" xfId="0" applyNumberFormat="1" applyFont="1" applyFill="1" applyProtection="1">
      <protection hidden="1"/>
    </xf>
    <xf numFmtId="0" fontId="9" fillId="0" borderId="0" xfId="0" applyFont="1" applyFill="1" applyAlignment="1" applyProtection="1">
      <alignment wrapText="1"/>
      <protection hidden="1"/>
    </xf>
    <xf numFmtId="0" fontId="9" fillId="0" borderId="0" xfId="0" applyNumberFormat="1" applyFont="1" applyFill="1" applyProtection="1"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hidden="1"/>
    </xf>
    <xf numFmtId="0" fontId="8" fillId="2" borderId="1" xfId="0" applyFont="1" applyFill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right" vertical="center"/>
      <protection hidden="1"/>
    </xf>
    <xf numFmtId="14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locked="0" hidden="1"/>
    </xf>
    <xf numFmtId="0" fontId="3" fillId="0" borderId="2" xfId="0" applyFont="1" applyBorder="1" applyAlignment="1" applyProtection="1">
      <alignment horizontal="center" vertical="center"/>
      <protection locked="0" hidden="1"/>
    </xf>
    <xf numFmtId="0" fontId="3" fillId="2" borderId="1" xfId="0" applyFont="1" applyFill="1" applyBorder="1" applyAlignment="1" applyProtection="1">
      <alignment horizontal="left" vertical="center" shrinkToFit="1"/>
      <protection locked="0"/>
    </xf>
    <xf numFmtId="0" fontId="3" fillId="0" borderId="4" xfId="0" applyFont="1" applyBorder="1" applyAlignment="1" applyProtection="1">
      <alignment horizontal="center" vertical="center" shrinkToFit="1"/>
      <protection locked="0" hidden="1"/>
    </xf>
    <xf numFmtId="0" fontId="8" fillId="0" borderId="5" xfId="0" applyFont="1" applyBorder="1" applyAlignment="1" applyProtection="1">
      <alignment horizontal="center" vertical="center" shrinkToFit="1"/>
      <protection locked="0" hidden="1"/>
    </xf>
    <xf numFmtId="0" fontId="8" fillId="0" borderId="6" xfId="0" applyFont="1" applyBorder="1" applyAlignment="1" applyProtection="1">
      <alignment horizontal="center" vertical="center" shrinkToFit="1"/>
      <protection locked="0" hidden="1"/>
    </xf>
    <xf numFmtId="0" fontId="8" fillId="0" borderId="7" xfId="0" applyFont="1" applyBorder="1" applyAlignment="1" applyProtection="1">
      <alignment horizontal="center" vertical="center" shrinkToFit="1"/>
      <protection locked="0" hidden="1"/>
    </xf>
    <xf numFmtId="0" fontId="8" fillId="0" borderId="0" xfId="0" applyFont="1" applyBorder="1" applyAlignment="1" applyProtection="1">
      <alignment horizontal="center" vertical="center" shrinkToFit="1"/>
      <protection locked="0" hidden="1"/>
    </xf>
    <xf numFmtId="0" fontId="8" fillId="0" borderId="8" xfId="0" applyFont="1" applyBorder="1" applyAlignment="1" applyProtection="1">
      <alignment horizontal="center" vertical="center" shrinkToFit="1"/>
      <protection locked="0" hidden="1"/>
    </xf>
    <xf numFmtId="0" fontId="8" fillId="0" borderId="9" xfId="0" applyFont="1" applyBorder="1" applyAlignment="1" applyProtection="1">
      <alignment horizontal="center" vertical="center" shrinkToFit="1"/>
      <protection locked="0" hidden="1"/>
    </xf>
    <xf numFmtId="0" fontId="8" fillId="0" borderId="10" xfId="0" applyFont="1" applyBorder="1" applyAlignment="1" applyProtection="1">
      <alignment horizontal="center" vertical="center" shrinkToFit="1"/>
      <protection locked="0" hidden="1"/>
    </xf>
    <xf numFmtId="0" fontId="8" fillId="0" borderId="11" xfId="0" applyFont="1" applyBorder="1" applyAlignment="1" applyProtection="1">
      <alignment horizontal="center" vertical="center" shrinkToFit="1"/>
      <protection locked="0" hidden="1"/>
    </xf>
    <xf numFmtId="0" fontId="1" fillId="2" borderId="1" xfId="0" applyFont="1" applyFill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 applyProtection="1">
      <alignment horizontal="right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3" fontId="3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right"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left" vertical="top" wrapText="1"/>
      <protection hidden="1"/>
    </xf>
    <xf numFmtId="0" fontId="4" fillId="2" borderId="5" xfId="0" applyFont="1" applyFill="1" applyBorder="1" applyAlignment="1" applyProtection="1">
      <alignment horizontal="left" vertical="top" wrapText="1"/>
      <protection hidden="1"/>
    </xf>
    <xf numFmtId="0" fontId="4" fillId="2" borderId="6" xfId="0" applyFont="1" applyFill="1" applyBorder="1" applyAlignment="1" applyProtection="1">
      <alignment horizontal="left" vertical="top" wrapText="1"/>
      <protection hidden="1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right" vertical="center" shrinkToFit="1"/>
      <protection hidden="1"/>
    </xf>
    <xf numFmtId="0" fontId="1" fillId="0" borderId="1" xfId="0" applyFont="1" applyBorder="1" applyAlignment="1" applyProtection="1">
      <alignment horizontal="right" vertical="center" wrapText="1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hidden="1"/>
    </xf>
  </cellXfs>
  <cellStyles count="1">
    <cellStyle name="Normalny" xfId="0" builtinId="0"/>
  </cellStyles>
  <dxfs count="5">
    <dxf>
      <font>
        <b/>
        <i val="0"/>
      </font>
      <fill>
        <patternFill>
          <bgColor theme="2"/>
        </patternFill>
      </fill>
    </dxf>
    <dxf>
      <font>
        <b/>
        <i val="0"/>
      </font>
      <fill>
        <patternFill>
          <bgColor theme="2"/>
        </patternFill>
      </fill>
    </dxf>
    <dxf>
      <font>
        <b/>
        <i val="0"/>
      </font>
      <fill>
        <patternFill>
          <bgColor theme="2"/>
        </patternFill>
      </fill>
    </dxf>
    <dxf>
      <font>
        <b/>
        <i val="0"/>
      </font>
      <fill>
        <patternFill>
          <bgColor theme="2"/>
        </patternFill>
      </fill>
    </dxf>
    <dxf>
      <font>
        <b/>
        <i val="0"/>
      </font>
      <fill>
        <patternFill>
          <bgColor theme="2"/>
        </patternFill>
      </fill>
    </dxf>
  </dxfs>
  <tableStyles count="0" defaultTableStyle="TableStyleMedium2" defaultPivotStyle="PivotStyleLight16"/>
  <colors>
    <mruColors>
      <color rgb="FF00FF00"/>
      <color rgb="FFFF00FF"/>
      <color rgb="FFFF0066"/>
      <color rgb="FFFF33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22860</xdr:rowOff>
    </xdr:from>
    <xdr:to>
      <xdr:col>3</xdr:col>
      <xdr:colOff>480060</xdr:colOff>
      <xdr:row>5</xdr:row>
      <xdr:rowOff>134954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468D83CF-D894-42D2-9F65-78188FD6C4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22860"/>
          <a:ext cx="2400300" cy="950294"/>
        </a:xfrm>
        <a:prstGeom prst="rect">
          <a:avLst/>
        </a:prstGeom>
      </xdr:spPr>
    </xdr:pic>
    <xdr:clientData/>
  </xdr:twoCellAnchor>
  <xdr:twoCellAnchor editAs="oneCell">
    <xdr:from>
      <xdr:col>15</xdr:col>
      <xdr:colOff>388620</xdr:colOff>
      <xdr:row>0</xdr:row>
      <xdr:rowOff>0</xdr:rowOff>
    </xdr:from>
    <xdr:to>
      <xdr:col>17</xdr:col>
      <xdr:colOff>411480</xdr:colOff>
      <xdr:row>5</xdr:row>
      <xdr:rowOff>157344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2D04CB0E-10D8-45D9-8619-4387E9B0A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3440" y="0"/>
          <a:ext cx="1043940" cy="9955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75293-9445-4B03-89B2-867E40AC0C82}">
  <sheetPr codeName="Arkusz1"/>
  <dimension ref="A1:S43"/>
  <sheetViews>
    <sheetView showGridLines="0" tabSelected="1" view="pageLayout" zoomScaleNormal="100" workbookViewId="0">
      <selection activeCell="E1" sqref="E1:H3"/>
    </sheetView>
  </sheetViews>
  <sheetFormatPr defaultRowHeight="13.2" x14ac:dyDescent="0.3"/>
  <cols>
    <col min="1" max="1" width="10.44140625" style="8" customWidth="1"/>
    <col min="2" max="2" width="9.77734375" style="8" customWidth="1"/>
    <col min="3" max="19" width="7.109375" style="8" customWidth="1"/>
    <col min="20" max="16384" width="8.88671875" style="8"/>
  </cols>
  <sheetData>
    <row r="1" spans="1:19" ht="13.2" customHeight="1" x14ac:dyDescent="0.3">
      <c r="E1" s="22"/>
      <c r="F1" s="22"/>
      <c r="G1" s="22"/>
      <c r="H1" s="22"/>
      <c r="I1" s="9" t="s">
        <v>196</v>
      </c>
      <c r="J1" s="29"/>
      <c r="K1" s="29"/>
      <c r="L1" s="29"/>
      <c r="M1" s="21" t="s">
        <v>201</v>
      </c>
      <c r="N1" s="21"/>
    </row>
    <row r="2" spans="1:19" ht="13.2" customHeight="1" x14ac:dyDescent="0.3">
      <c r="E2" s="22"/>
      <c r="F2" s="22"/>
      <c r="G2" s="22"/>
      <c r="H2" s="22"/>
      <c r="I2" s="23" t="s">
        <v>197</v>
      </c>
      <c r="J2" s="23"/>
      <c r="K2" s="26">
        <f ca="1">TODAY()</f>
        <v>43528</v>
      </c>
      <c r="L2" s="26"/>
      <c r="M2" s="20"/>
      <c r="N2" s="20"/>
    </row>
    <row r="3" spans="1:19" ht="13.2" customHeight="1" x14ac:dyDescent="0.3">
      <c r="E3" s="22"/>
      <c r="F3" s="22"/>
      <c r="G3" s="22"/>
      <c r="H3" s="22"/>
      <c r="I3" s="23" t="str">
        <f>IF(E1="ZAMÓWIENIE:","termin dostawy:","")</f>
        <v/>
      </c>
      <c r="J3" s="23"/>
      <c r="K3" s="24" t="str">
        <f>IF(I3="termin dostawy:"," ","")</f>
        <v/>
      </c>
      <c r="L3" s="25"/>
      <c r="M3" s="20"/>
      <c r="N3" s="20"/>
    </row>
    <row r="4" spans="1:19" ht="13.2" customHeight="1" x14ac:dyDescent="0.3">
      <c r="E4" s="30" t="s">
        <v>217</v>
      </c>
      <c r="F4" s="31"/>
      <c r="G4" s="31"/>
      <c r="H4" s="32"/>
      <c r="I4" s="27" t="s">
        <v>218</v>
      </c>
      <c r="J4" s="27"/>
      <c r="K4" s="27"/>
      <c r="L4" s="27"/>
    </row>
    <row r="5" spans="1:19" ht="13.2" customHeight="1" x14ac:dyDescent="0.3">
      <c r="E5" s="33"/>
      <c r="F5" s="34"/>
      <c r="G5" s="34"/>
      <c r="H5" s="35"/>
      <c r="I5" s="27" t="s">
        <v>219</v>
      </c>
      <c r="J5" s="27"/>
      <c r="K5" s="27"/>
      <c r="L5" s="27"/>
    </row>
    <row r="6" spans="1:19" ht="13.2" customHeight="1" x14ac:dyDescent="0.3">
      <c r="E6" s="36"/>
      <c r="F6" s="37"/>
      <c r="G6" s="37"/>
      <c r="H6" s="38"/>
      <c r="I6" s="10" t="s">
        <v>198</v>
      </c>
      <c r="J6" s="28" t="str">
        <f>IF(I6="nip:"," ","")</f>
        <v xml:space="preserve"> </v>
      </c>
      <c r="K6" s="28"/>
      <c r="L6" s="28"/>
    </row>
    <row r="7" spans="1:19" x14ac:dyDescent="0.3">
      <c r="A7" s="23" t="s">
        <v>25</v>
      </c>
      <c r="B7" s="23"/>
      <c r="C7" s="23"/>
      <c r="D7" s="23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</row>
    <row r="8" spans="1:19" x14ac:dyDescent="0.3">
      <c r="A8" s="23" t="s">
        <v>26</v>
      </c>
      <c r="B8" s="23"/>
      <c r="C8" s="23"/>
      <c r="D8" s="23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</row>
    <row r="9" spans="1:19" x14ac:dyDescent="0.3">
      <c r="A9" s="23" t="str">
        <f>IF(M2="RNS","","Kolorystyka rewizji")</f>
        <v>Kolorystyka rewizji</v>
      </c>
      <c r="B9" s="23"/>
      <c r="C9" s="23"/>
      <c r="D9" s="23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</row>
    <row r="10" spans="1:19" x14ac:dyDescent="0.3">
      <c r="A10" s="23" t="s">
        <v>27</v>
      </c>
      <c r="B10" s="23"/>
      <c r="C10" s="23"/>
      <c r="D10" s="23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</row>
    <row r="11" spans="1:19" x14ac:dyDescent="0.3">
      <c r="A11" s="23" t="s">
        <v>28</v>
      </c>
      <c r="B11" s="23"/>
      <c r="C11" s="23"/>
      <c r="D11" s="2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</row>
    <row r="12" spans="1:19" x14ac:dyDescent="0.3">
      <c r="A12" s="23" t="s">
        <v>29</v>
      </c>
      <c r="B12" s="23"/>
      <c r="C12" s="23"/>
      <c r="D12" s="23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</row>
    <row r="13" spans="1:19" s="11" customFormat="1" ht="4.8" customHeight="1" x14ac:dyDescent="0.3"/>
    <row r="14" spans="1:19" x14ac:dyDescent="0.3">
      <c r="C14" s="12">
        <v>1</v>
      </c>
      <c r="D14" s="12">
        <v>2</v>
      </c>
      <c r="E14" s="12">
        <v>3</v>
      </c>
      <c r="F14" s="12">
        <v>4</v>
      </c>
      <c r="G14" s="12">
        <v>5</v>
      </c>
      <c r="H14" s="12">
        <v>6</v>
      </c>
      <c r="I14" s="12">
        <v>7</v>
      </c>
      <c r="J14" s="12">
        <v>8</v>
      </c>
      <c r="K14" s="12">
        <v>9</v>
      </c>
      <c r="L14" s="12">
        <v>10</v>
      </c>
      <c r="M14" s="12">
        <v>11</v>
      </c>
      <c r="N14" s="12">
        <v>12</v>
      </c>
      <c r="O14" s="12">
        <v>13</v>
      </c>
      <c r="P14" s="12">
        <v>14</v>
      </c>
      <c r="Q14" s="12">
        <v>15</v>
      </c>
      <c r="R14" s="12">
        <v>16</v>
      </c>
      <c r="S14" s="12">
        <v>17</v>
      </c>
    </row>
    <row r="15" spans="1:19" x14ac:dyDescent="0.3">
      <c r="A15" s="23" t="s">
        <v>14</v>
      </c>
      <c r="B15" s="23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x14ac:dyDescent="0.3">
      <c r="A16" s="23" t="s">
        <v>13</v>
      </c>
      <c r="B16" s="2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x14ac:dyDescent="0.3">
      <c r="A17" s="23" t="s">
        <v>9</v>
      </c>
      <c r="B17" s="23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x14ac:dyDescent="0.3">
      <c r="A18" s="9" t="s">
        <v>8</v>
      </c>
      <c r="B18" s="3" t="s">
        <v>12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x14ac:dyDescent="0.3">
      <c r="A19" s="23" t="s">
        <v>24</v>
      </c>
      <c r="B19" s="2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x14ac:dyDescent="0.3">
      <c r="A20" s="23" t="s">
        <v>148</v>
      </c>
      <c r="B20" s="23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x14ac:dyDescent="0.3">
      <c r="A21" s="23" t="s">
        <v>21</v>
      </c>
      <c r="B21" s="2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x14ac:dyDescent="0.3">
      <c r="A22" s="23" t="s">
        <v>22</v>
      </c>
      <c r="B22" s="23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x14ac:dyDescent="0.3">
      <c r="A23" s="23" t="s">
        <v>23</v>
      </c>
      <c r="B23" s="2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x14ac:dyDescent="0.3">
      <c r="A24" s="23" t="s">
        <v>187</v>
      </c>
      <c r="B24" s="23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ht="14.4" customHeight="1" x14ac:dyDescent="0.3">
      <c r="A25" s="23" t="str">
        <f>IF(M2="RNS","",IF(AND(M2="rnk/b",E7="zabudowa skrzynki"),"Kątownik zewnętrzny",IF(OR(M2="rnk/xt",M2="rnk/e"),"Kątownik zewnętrzny","")))</f>
        <v/>
      </c>
      <c r="B25" s="23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</row>
    <row r="26" spans="1:19" ht="14.4" customHeight="1" x14ac:dyDescent="0.3">
      <c r="A26" s="23" t="str">
        <f>IF(M2="rns","",IF(AND(M2="rnk/b",E8="zabudowa skrzynki"),"Kątownik wewnętrzny",IF(OR(M2="rnk/xt",M2="rnk/e"),"Kątownik wewnętrzny","")))</f>
        <v/>
      </c>
      <c r="B26" s="23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</row>
    <row r="27" spans="1:19" x14ac:dyDescent="0.3">
      <c r="A27" s="23" t="str">
        <f>IF(M2="RNK/B","","System okienny")</f>
        <v>System okienny</v>
      </c>
      <c r="B27" s="23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</row>
    <row r="28" spans="1:19" x14ac:dyDescent="0.3">
      <c r="A28" s="23" t="s">
        <v>207</v>
      </c>
      <c r="B28" s="2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</row>
    <row r="29" spans="1:19" x14ac:dyDescent="0.3">
      <c r="A29" s="54" t="s">
        <v>212</v>
      </c>
      <c r="B29" s="54"/>
      <c r="C29" s="6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spans="1:19" x14ac:dyDescent="0.3">
      <c r="A30" s="55" t="str">
        <f>IF(M2="RNK/B","","Poszerzenie skrzynki")</f>
        <v>Poszerzenie skrzynki</v>
      </c>
      <c r="B30" s="9" t="str">
        <f>IF(A30="poszerzenie skrzynki","w lewo:","")</f>
        <v>w lewo: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x14ac:dyDescent="0.3">
      <c r="A31" s="55"/>
      <c r="B31" s="9" t="str">
        <f>IF(A30="poszerzenie skrzynki","w prawo:","")</f>
        <v>w prawo: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13.2" customHeight="1" x14ac:dyDescent="0.3">
      <c r="A32" s="57" t="s">
        <v>190</v>
      </c>
      <c r="B32" s="9" t="s">
        <v>164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ht="13.2" customHeight="1" x14ac:dyDescent="0.3">
      <c r="A33" s="57"/>
      <c r="B33" s="21" t="s">
        <v>165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</row>
    <row r="34" spans="1:19" x14ac:dyDescent="0.3">
      <c r="A34" s="57"/>
      <c r="B34" s="21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</row>
    <row r="35" spans="1:19" x14ac:dyDescent="0.3">
      <c r="A35" s="23" t="s">
        <v>179</v>
      </c>
      <c r="B35" s="23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 x14ac:dyDescent="0.3">
      <c r="A36" s="23" t="s">
        <v>191</v>
      </c>
      <c r="B36" s="23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</row>
    <row r="37" spans="1:19" x14ac:dyDescent="0.3">
      <c r="A37" s="23" t="s">
        <v>160</v>
      </c>
      <c r="B37" s="2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</row>
    <row r="38" spans="1:19" x14ac:dyDescent="0.3">
      <c r="A38" s="43" t="s">
        <v>151</v>
      </c>
      <c r="B38" s="43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1:19" s="14" customFormat="1" ht="5.4" customHeight="1" x14ac:dyDescent="0.3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</row>
    <row r="40" spans="1:19" ht="12.6" customHeight="1" x14ac:dyDescent="0.3">
      <c r="A40" s="21" t="s">
        <v>186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45" t="s">
        <v>189</v>
      </c>
      <c r="P40" s="46"/>
      <c r="Q40" s="46"/>
      <c r="R40" s="46"/>
      <c r="S40" s="47"/>
    </row>
    <row r="41" spans="1:19" ht="12.6" customHeight="1" x14ac:dyDescent="0.3">
      <c r="A41" s="21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48"/>
      <c r="P41" s="49"/>
      <c r="Q41" s="49"/>
      <c r="R41" s="49"/>
      <c r="S41" s="50"/>
    </row>
    <row r="42" spans="1:19" ht="12.6" customHeight="1" x14ac:dyDescent="0.3">
      <c r="A42" s="21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48"/>
      <c r="P42" s="49"/>
      <c r="Q42" s="49"/>
      <c r="R42" s="49"/>
      <c r="S42" s="50"/>
    </row>
    <row r="43" spans="1:19" ht="14.4" customHeight="1" x14ac:dyDescent="0.3">
      <c r="A43" s="40" t="s">
        <v>199</v>
      </c>
      <c r="B43" s="40"/>
      <c r="C43" s="40"/>
      <c r="D43" s="40"/>
      <c r="E43" s="41" t="s">
        <v>215</v>
      </c>
      <c r="F43" s="41"/>
      <c r="G43" s="41"/>
      <c r="H43" s="42" t="s">
        <v>216</v>
      </c>
      <c r="I43" s="42"/>
      <c r="J43" s="41" t="s">
        <v>200</v>
      </c>
      <c r="K43" s="41"/>
      <c r="L43" s="41"/>
      <c r="M43" s="41"/>
      <c r="N43" s="41"/>
      <c r="O43" s="51"/>
      <c r="P43" s="52"/>
      <c r="Q43" s="52"/>
      <c r="R43" s="52"/>
      <c r="S43" s="53"/>
    </row>
  </sheetData>
  <sheetProtection algorithmName="SHA-512" hashValue="7F9ZLbb4yY/dKJMr+pHJxWuLCEIn7jPzZl9sAOFIf/GlMCQK6hv77tSSS2n1hDOcTBOAmfJYPP0mnToScisAbw==" saltValue="Bgz/GTRbpXbEovVT6UN0gQ==" spinCount="100000" sheet="1" objects="1" scenarios="1"/>
  <mergeCells count="76">
    <mergeCell ref="K33:K34"/>
    <mergeCell ref="L33:L34"/>
    <mergeCell ref="M33:M34"/>
    <mergeCell ref="N33:N34"/>
    <mergeCell ref="A21:B21"/>
    <mergeCell ref="A28:B28"/>
    <mergeCell ref="A32:A34"/>
    <mergeCell ref="B33:B34"/>
    <mergeCell ref="J33:J34"/>
    <mergeCell ref="A35:B35"/>
    <mergeCell ref="C28:S28"/>
    <mergeCell ref="A30:A31"/>
    <mergeCell ref="C27:S27"/>
    <mergeCell ref="D33:D34"/>
    <mergeCell ref="E33:E34"/>
    <mergeCell ref="F33:F34"/>
    <mergeCell ref="G33:G34"/>
    <mergeCell ref="H33:H34"/>
    <mergeCell ref="I33:I34"/>
    <mergeCell ref="O33:O34"/>
    <mergeCell ref="P33:P34"/>
    <mergeCell ref="C33:C34"/>
    <mergeCell ref="Q33:Q34"/>
    <mergeCell ref="R33:R34"/>
    <mergeCell ref="S33:S34"/>
    <mergeCell ref="E12:S12"/>
    <mergeCell ref="A29:B29"/>
    <mergeCell ref="A23:B23"/>
    <mergeCell ref="A27:B27"/>
    <mergeCell ref="A19:B19"/>
    <mergeCell ref="A24:B24"/>
    <mergeCell ref="A17:B17"/>
    <mergeCell ref="A15:B15"/>
    <mergeCell ref="A20:B20"/>
    <mergeCell ref="C26:S26"/>
    <mergeCell ref="C25:S25"/>
    <mergeCell ref="A25:B25"/>
    <mergeCell ref="A26:B26"/>
    <mergeCell ref="A12:D12"/>
    <mergeCell ref="A22:B22"/>
    <mergeCell ref="A16:B16"/>
    <mergeCell ref="A7:D7"/>
    <mergeCell ref="A8:D8"/>
    <mergeCell ref="A9:D9"/>
    <mergeCell ref="A10:D10"/>
    <mergeCell ref="A11:D11"/>
    <mergeCell ref="E7:S7"/>
    <mergeCell ref="E8:S8"/>
    <mergeCell ref="E9:S9"/>
    <mergeCell ref="E10:S10"/>
    <mergeCell ref="E11:S11"/>
    <mergeCell ref="A36:B36"/>
    <mergeCell ref="C36:S36"/>
    <mergeCell ref="A40:A42"/>
    <mergeCell ref="B40:N42"/>
    <mergeCell ref="A43:D43"/>
    <mergeCell ref="E43:G43"/>
    <mergeCell ref="H43:I43"/>
    <mergeCell ref="J43:N43"/>
    <mergeCell ref="A38:B38"/>
    <mergeCell ref="A37:B37"/>
    <mergeCell ref="C37:S37"/>
    <mergeCell ref="O40:S40"/>
    <mergeCell ref="O41:S43"/>
    <mergeCell ref="I4:L4"/>
    <mergeCell ref="I5:L5"/>
    <mergeCell ref="J6:L6"/>
    <mergeCell ref="J1:L1"/>
    <mergeCell ref="E4:H6"/>
    <mergeCell ref="M2:N3"/>
    <mergeCell ref="M1:N1"/>
    <mergeCell ref="E1:H3"/>
    <mergeCell ref="I3:J3"/>
    <mergeCell ref="K3:L3"/>
    <mergeCell ref="I2:J2"/>
    <mergeCell ref="K2:L2"/>
  </mergeCells>
  <conditionalFormatting sqref="E4:H6">
    <cfRule type="containsText" dxfId="4" priority="5" operator="containsText" text="Nazwa firmy">
      <formula>NOT(ISERROR(SEARCH("Nazwa firmy",E4)))</formula>
    </cfRule>
  </conditionalFormatting>
  <conditionalFormatting sqref="I4:L4">
    <cfRule type="containsText" dxfId="3" priority="4" operator="containsText" text="Miasto">
      <formula>NOT(ISERROR(SEARCH("Miasto",I4)))</formula>
    </cfRule>
  </conditionalFormatting>
  <conditionalFormatting sqref="I5:L5">
    <cfRule type="containsText" dxfId="2" priority="3" operator="containsText" text="Adres">
      <formula>NOT(ISERROR(SEARCH("Adres",I5)))</formula>
    </cfRule>
  </conditionalFormatting>
  <conditionalFormatting sqref="J6:L6">
    <cfRule type="containsText" dxfId="1" priority="2" operator="containsText" text=" ">
      <formula>NOT(ISERROR(SEARCH(" ",J6)))</formula>
    </cfRule>
  </conditionalFormatting>
  <conditionalFormatting sqref="K3:L3">
    <cfRule type="containsText" dxfId="0" priority="1" operator="containsText" text=" ">
      <formula>NOT(ISERROR(SEARCH(" ",K3)))</formula>
    </cfRule>
  </conditionalFormatting>
  <dataValidations count="24">
    <dataValidation type="list" allowBlank="1" showInputMessage="1" showErrorMessage="1" sqref="B18:B19" xr:uid="{AA6B3F20-FA55-4B27-8E6B-49D970561FE9}">
      <formula1>WYSOKOŚĆ</formula1>
    </dataValidation>
    <dataValidation type="list" allowBlank="1" showInputMessage="1" showErrorMessage="1" sqref="C15:Q15" xr:uid="{611E6DF4-C743-4F8D-ADAD-9A0B48A4D1D5}">
      <formula1>zestawrolet</formula1>
    </dataValidation>
    <dataValidation type="list" allowBlank="1" showInputMessage="1" showErrorMessage="1" sqref="C27" xr:uid="{DE3073DF-662B-4C99-81B7-D0906FD43E28}">
      <formula1>SYSTEMYOKIENNE</formula1>
    </dataValidation>
    <dataValidation type="list" allowBlank="1" showInputMessage="1" showErrorMessage="1" sqref="C25" xr:uid="{33D57BCF-93D6-4547-8912-B7836AE2506A}">
      <formula1>KĄTOWNIKZEWNĘTRZNY</formula1>
    </dataValidation>
    <dataValidation type="list" allowBlank="1" showInputMessage="1" showErrorMessage="1" sqref="C26" xr:uid="{98F8C506-1A9E-4C63-89C4-499F424E07E8}">
      <formula1>kątownikwewnętrzny</formula1>
    </dataValidation>
    <dataValidation type="list" allowBlank="1" showInputMessage="1" showErrorMessage="1" sqref="E11:S11" xr:uid="{62A1917B-DCE1-4C81-89F8-378772EEF79B}">
      <formula1>KOLORYSTYKA_PANCERZY</formula1>
    </dataValidation>
    <dataValidation type="list" allowBlank="1" showInputMessage="1" showErrorMessage="1" sqref="E12:S12" xr:uid="{F802A737-3842-46CF-B38C-3D300C21D46C}">
      <formula1>LISTWA_DOLNA</formula1>
    </dataValidation>
    <dataValidation type="list" allowBlank="1" showInputMessage="1" showErrorMessage="1" sqref="C22:S22" xr:uid="{9F4D5A84-1A32-4459-BE4F-84D03F039FFC}">
      <formula1>RURA</formula1>
    </dataValidation>
    <dataValidation type="list" allowBlank="1" showInputMessage="1" showErrorMessage="1" sqref="C25:S25" xr:uid="{175F4A0F-8EB6-4F20-B0FE-5F187E7817B8}">
      <formula1>STEROWANIENAPĘDU</formula1>
    </dataValidation>
    <dataValidation type="list" allowBlank="1" showInputMessage="1" showErrorMessage="1" sqref="C20:S20" xr:uid="{36A77327-65BE-46AD-ADB2-3F819D28FE34}">
      <formula1>REWIZJA</formula1>
    </dataValidation>
    <dataValidation type="list" allowBlank="1" showInputMessage="1" showErrorMessage="1" sqref="C28:S28" xr:uid="{C5AF0C64-EA75-4854-A3B9-C22DC99210D0}">
      <formula1>ZAŚLEPKIPROWADNICY</formula1>
    </dataValidation>
    <dataValidation type="list" allowBlank="1" showInputMessage="1" showErrorMessage="1" sqref="C38:S38" xr:uid="{F7288229-691C-48AB-824A-BFD2F3345D22}">
      <formula1>PODCIĘCIEPROWADNICY</formula1>
    </dataValidation>
    <dataValidation type="list" allowBlank="1" showInputMessage="1" showErrorMessage="1" sqref="C37:S38" xr:uid="{BB2FBEAD-9648-429D-9F69-41705A4C410D}">
      <formula1>PAKOWANIEROLET</formula1>
    </dataValidation>
    <dataValidation type="list" allowBlank="1" showInputMessage="1" showErrorMessage="1" sqref="C33:S33" xr:uid="{28F28EFA-E4DC-4E55-A5FA-5C2F0992E751}">
      <formula1>STEROWANIEELEKTRYCZNE</formula1>
    </dataValidation>
    <dataValidation type="list" allowBlank="1" showInputMessage="1" showErrorMessage="1" sqref="C35:S35 C37:S38" xr:uid="{CB5577D4-E15E-4091-B5F8-9EEEEDA3DFDA}">
      <formula1>MARKASILNIKAELEKTRYCZNEGO</formula1>
    </dataValidation>
    <dataValidation allowBlank="1" showInputMessage="1" showErrorMessage="1" prompt="Szerokość podawana w mm." sqref="C17:S17" xr:uid="{4370D987-E37C-4E1E-9327-5495B2A8DF18}"/>
    <dataValidation allowBlank="1" showInputMessage="1" showErrorMessage="1" prompt="Wysokość podawana w mm." sqref="C18:S18" xr:uid="{7512A5BB-A817-4E4E-A477-E9036C4F5426}"/>
    <dataValidation allowBlank="1" showInputMessage="1" showErrorMessage="1" prompt="Poszerzenie jest dodawane dodatkowo do szerokości całkowitej w mm," sqref="C30:S31" xr:uid="{21262B2E-A964-4878-BE5C-B2B86ED1CBAD}"/>
    <dataValidation type="list" allowBlank="1" showInputMessage="1" showErrorMessage="1" sqref="M2" xr:uid="{9F940D0A-C073-42CF-8E8F-B03FEACCFE0F}">
      <formula1>system</formula1>
    </dataValidation>
    <dataValidation type="list" allowBlank="1" showInputMessage="1" showErrorMessage="1" sqref="E1" xr:uid="{809EF56E-E71E-45E3-BF86-DFE5C491159E}">
      <formula1>rodzaj</formula1>
    </dataValidation>
    <dataValidation type="list" allowBlank="1" showInputMessage="1" showErrorMessage="1" prompt="Minimalna szerokość 700mm" sqref="C23:S23" xr:uid="{63390D44-03AE-4C9A-AA70-F1BF4CBDB1D3}">
      <formula1>MOSKITIERA</formula1>
    </dataValidation>
    <dataValidation type="list" allowBlank="1" showInputMessage="1" showErrorMessage="1" prompt="Zdjęcie w prawym górnym roku. _x000a_W systemie RNK/B tylko &quot;A&quot;" sqref="C24:S24" xr:uid="{5B0FDD44-80AD-476D-8098-5B773069C78A}">
      <formula1>STEROWANIENAPĘDU</formula1>
    </dataValidation>
    <dataValidation type="list" allowBlank="1" showInputMessage="1" showErrorMessage="1" prompt="Wieszak blokada - nap. elektryczny_x000a_Rygiel ręczny - nap. ręczny_x000a_Zamek baskwilowy - nap. ręczny" sqref="C29:S29" xr:uid="{DF6AD623-9554-4E52-98EF-971CFCEB62D0}">
      <formula1>zabezpieczenieprzedpodniesieniem</formula1>
    </dataValidation>
    <dataValidation type="list" allowBlank="1" showInputMessage="1" showErrorMessage="1" prompt="ZP13N zwijacz NATYNKOWY 5mb_x000a_ZP13P  zwijacz PÓŁWPUSZCZANY_x000a_ZPK    zwijacz KORBOWY_x000a_ZPP14  zwijacz PODTYNKOWY_x000a_ZWP9  zwijacz NATYNKOWY 9-11mb_x000a_PKS  przekład. korbowa STAŁA_x000a_PKR przekład. korbowa ROZŁĄCZNA_x000a_PKO przekład. korb. Z ODSADZENIEM_x000a_SPR sprężyna_x000a_ZALEŻNY_x000a__x000a_" sqref="C32:S32" xr:uid="{2F4BF8E1-B7AB-4C47-B9B6-E675082C7585}">
      <formula1>STEROWANIERĘCZNE</formula1>
    </dataValidation>
  </dataValidations>
  <pageMargins left="0.19685039370078741" right="0.19685039370078741" top="0.19685039370078741" bottom="0.19685039370078741" header="0.19685039370078741" footer="0.19685039370078741"/>
  <pageSetup paperSize="9" orientation="landscape" r:id="rId1"/>
  <ignoredErrors>
    <ignoredError sqref="A9 B25 I2:L2 A27:B27 B26 A30:B34 B28 I3:K3 J6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7ED5A44B-34AF-4B3D-845E-D36A78AA97B3}">
          <x14:formula1>
            <xm:f>INDIRECT(Info!$E$7)</xm:f>
          </x14:formula1>
          <xm:sqref>E7:S7</xm:sqref>
        </x14:dataValidation>
        <x14:dataValidation type="list" allowBlank="1" showInputMessage="1" showErrorMessage="1" xr:uid="{75448236-FC31-47B0-AA8A-D116D078AD8A}">
          <x14:formula1>
            <xm:f>INDIRECT(Info!$E$8)</xm:f>
          </x14:formula1>
          <xm:sqref>E8:S8</xm:sqref>
        </x14:dataValidation>
        <x14:dataValidation type="list" allowBlank="1" showInputMessage="1" showErrorMessage="1" xr:uid="{16CE8611-3528-47D0-BF74-413E5342108F}">
          <x14:formula1>
            <xm:f>INDIRECT(Info!$E$9)</xm:f>
          </x14:formula1>
          <xm:sqref>E9:S9</xm:sqref>
        </x14:dataValidation>
        <x14:dataValidation type="list" allowBlank="1" showInputMessage="1" showErrorMessage="1" xr:uid="{D9D2CABE-68AD-4462-9486-C9552FB3BFE1}">
          <x14:formula1>
            <xm:f>INDIRECT(Info!$E$10)</xm:f>
          </x14:formula1>
          <xm:sqref>E10:S10</xm:sqref>
        </x14:dataValidation>
        <x14:dataValidation type="list" allowBlank="1" showInputMessage="1" showErrorMessage="1" xr:uid="{2AAC64B4-408D-4E51-B97C-F6E65C5BB735}">
          <x14:formula1>
            <xm:f>INDIRECT(Info!$W$2)</xm:f>
          </x14:formula1>
          <xm:sqref>C19:S19</xm:sqref>
        </x14:dataValidation>
        <x14:dataValidation type="list" allowBlank="1" showInputMessage="1" showErrorMessage="1" xr:uid="{AE4BBA26-5D4B-4F6E-95B5-A06CE0A69B3E}">
          <x14:formula1>
            <xm:f>INDIRECT(Info!$AB$2)</xm:f>
          </x14:formula1>
          <xm:sqref>C21:S21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C963D-F2F8-4FB9-9748-1DA131EBF866}">
  <sheetPr codeName="Arkusz3"/>
  <dimension ref="A1:AT49"/>
  <sheetViews>
    <sheetView workbookViewId="0">
      <pane ySplit="1" topLeftCell="A2" activePane="bottomLeft" state="frozen"/>
      <selection pane="bottomLeft" activeCell="A9" sqref="A9"/>
    </sheetView>
  </sheetViews>
  <sheetFormatPr defaultRowHeight="13.8" x14ac:dyDescent="0.25"/>
  <cols>
    <col min="1" max="1" width="8.88671875" style="15"/>
    <col min="2" max="2" width="13.77734375" style="15" bestFit="1" customWidth="1"/>
    <col min="3" max="3" width="9.44140625" style="15" bestFit="1" customWidth="1"/>
    <col min="4" max="4" width="11.5546875" style="15" bestFit="1" customWidth="1"/>
    <col min="5" max="5" width="17.5546875" style="15" customWidth="1"/>
    <col min="6" max="6" width="30.6640625" style="16" bestFit="1" customWidth="1"/>
    <col min="7" max="7" width="32.33203125" style="15" bestFit="1" customWidth="1"/>
    <col min="8" max="8" width="30.6640625" style="15" bestFit="1" customWidth="1"/>
    <col min="9" max="9" width="31.77734375" style="15" bestFit="1" customWidth="1"/>
    <col min="10" max="16" width="34.77734375" style="15" bestFit="1" customWidth="1"/>
    <col min="17" max="17" width="30.6640625" style="15" bestFit="1" customWidth="1"/>
    <col min="18" max="18" width="32.44140625" style="15" bestFit="1" customWidth="1"/>
    <col min="19" max="20" width="30.6640625" style="15" bestFit="1" customWidth="1"/>
    <col min="21" max="21" width="34.33203125" style="15" customWidth="1"/>
    <col min="22" max="22" width="33.77734375" style="15" bestFit="1" customWidth="1"/>
    <col min="23" max="23" width="17.109375" style="15" customWidth="1"/>
    <col min="24" max="24" width="14.109375" style="15" bestFit="1" customWidth="1"/>
    <col min="25" max="25" width="15.5546875" style="15" bestFit="1" customWidth="1"/>
    <col min="26" max="26" width="16.6640625" style="15" bestFit="1" customWidth="1"/>
    <col min="27" max="27" width="15.44140625" style="15" bestFit="1" customWidth="1"/>
    <col min="28" max="28" width="16.6640625" style="15" bestFit="1" customWidth="1"/>
    <col min="29" max="29" width="14.109375" style="15" bestFit="1" customWidth="1"/>
    <col min="30" max="30" width="15.5546875" style="15" bestFit="1" customWidth="1"/>
    <col min="31" max="31" width="16.6640625" style="15" bestFit="1" customWidth="1"/>
    <col min="32" max="32" width="15.44140625" style="15" bestFit="1" customWidth="1"/>
    <col min="33" max="33" width="8.88671875" style="15"/>
    <col min="34" max="34" width="20.6640625" style="15" bestFit="1" customWidth="1"/>
    <col min="35" max="35" width="12.77734375" style="15" bestFit="1" customWidth="1"/>
    <col min="36" max="36" width="21.33203125" style="15" bestFit="1" customWidth="1"/>
    <col min="37" max="37" width="15.21875" style="15" bestFit="1" customWidth="1"/>
    <col min="38" max="38" width="18" style="15" bestFit="1" customWidth="1"/>
    <col min="39" max="39" width="42.21875" style="15" bestFit="1" customWidth="1"/>
    <col min="40" max="40" width="32.6640625" style="15" bestFit="1" customWidth="1"/>
    <col min="41" max="41" width="22.6640625" style="15" bestFit="1" customWidth="1"/>
    <col min="42" max="42" width="23.6640625" style="15" bestFit="1" customWidth="1"/>
    <col min="43" max="43" width="16.77734375" style="15" bestFit="1" customWidth="1"/>
    <col min="44" max="44" width="16.88671875" style="15" bestFit="1" customWidth="1"/>
    <col min="45" max="45" width="21.33203125" style="15" bestFit="1" customWidth="1"/>
    <col min="46" max="46" width="25.44140625" style="15" bestFit="1" customWidth="1"/>
    <col min="47" max="16384" width="8.88671875" style="15"/>
  </cols>
  <sheetData>
    <row r="1" spans="1:46" ht="27.6" x14ac:dyDescent="0.25">
      <c r="A1" s="15" t="s">
        <v>4</v>
      </c>
      <c r="B1" s="15" t="s">
        <v>5</v>
      </c>
      <c r="C1" s="15" t="s">
        <v>10</v>
      </c>
      <c r="D1" s="15" t="s">
        <v>15</v>
      </c>
      <c r="E1" s="15" t="s">
        <v>125</v>
      </c>
      <c r="F1" s="16" t="s">
        <v>84</v>
      </c>
      <c r="G1" s="16" t="s">
        <v>83</v>
      </c>
      <c r="H1" s="16" t="s">
        <v>82</v>
      </c>
      <c r="I1" s="16" t="s">
        <v>81</v>
      </c>
      <c r="J1" s="16" t="s">
        <v>78</v>
      </c>
      <c r="K1" s="16" t="s">
        <v>79</v>
      </c>
      <c r="L1" s="16" t="s">
        <v>80</v>
      </c>
      <c r="M1" s="16" t="s">
        <v>85</v>
      </c>
      <c r="N1" s="16" t="s">
        <v>86</v>
      </c>
      <c r="O1" s="16" t="s">
        <v>87</v>
      </c>
      <c r="P1" s="16" t="s">
        <v>88</v>
      </c>
      <c r="Q1" s="16" t="s">
        <v>89</v>
      </c>
      <c r="R1" s="16" t="s">
        <v>90</v>
      </c>
      <c r="S1" s="16" t="s">
        <v>91</v>
      </c>
      <c r="T1" s="16" t="s">
        <v>92</v>
      </c>
      <c r="U1" s="16" t="s">
        <v>28</v>
      </c>
      <c r="V1" s="15" t="s">
        <v>121</v>
      </c>
      <c r="W1" s="15" t="s">
        <v>24</v>
      </c>
      <c r="X1" s="15" t="s">
        <v>126</v>
      </c>
      <c r="Y1" s="15" t="s">
        <v>129</v>
      </c>
      <c r="Z1" s="15" t="s">
        <v>127</v>
      </c>
      <c r="AA1" s="15" t="s">
        <v>128</v>
      </c>
      <c r="AB1" s="15" t="s">
        <v>130</v>
      </c>
      <c r="AC1" s="15" t="s">
        <v>136</v>
      </c>
      <c r="AD1" s="15" t="s">
        <v>137</v>
      </c>
      <c r="AE1" s="15" t="s">
        <v>138</v>
      </c>
      <c r="AF1" s="15" t="s">
        <v>139</v>
      </c>
      <c r="AG1" s="15" t="s">
        <v>140</v>
      </c>
      <c r="AH1" s="17" t="s">
        <v>208</v>
      </c>
      <c r="AI1" s="15" t="s">
        <v>141</v>
      </c>
      <c r="AJ1" s="15" t="s">
        <v>144</v>
      </c>
      <c r="AK1" s="15" t="s">
        <v>149</v>
      </c>
      <c r="AL1" s="15" t="s">
        <v>145</v>
      </c>
      <c r="AM1" s="15" t="s">
        <v>146</v>
      </c>
      <c r="AN1" s="15" t="s">
        <v>147</v>
      </c>
      <c r="AO1" s="15" t="s">
        <v>150</v>
      </c>
      <c r="AP1" s="15" t="s">
        <v>152</v>
      </c>
      <c r="AQ1" s="15" t="s">
        <v>161</v>
      </c>
      <c r="AR1" s="15" t="s">
        <v>166</v>
      </c>
      <c r="AS1" s="15" t="s">
        <v>173</v>
      </c>
      <c r="AT1" s="15" t="s">
        <v>180</v>
      </c>
    </row>
    <row r="2" spans="1:46" x14ac:dyDescent="0.25">
      <c r="A2" s="15" t="s">
        <v>3</v>
      </c>
      <c r="B2" s="15" t="s">
        <v>6</v>
      </c>
      <c r="C2" s="15" t="s">
        <v>11</v>
      </c>
      <c r="D2" s="16" t="s">
        <v>16</v>
      </c>
      <c r="E2" s="16"/>
      <c r="F2" s="18" t="str">
        <f>IF('Formularz RN'!M2="RNS","RNS_1","")</f>
        <v/>
      </c>
      <c r="G2" s="18" t="str">
        <f>IF('Formularz RN'!M2="RNS","RNS_2","")</f>
        <v/>
      </c>
      <c r="H2" s="18" t="str">
        <f>IF('Formularz RN'!M2="RNS","RNS_4","")</f>
        <v/>
      </c>
      <c r="I2" s="18" t="str">
        <f>IF('Formularz RN'!M2="RNK/XT","RNKXT_1","")</f>
        <v/>
      </c>
      <c r="J2" s="18" t="str">
        <f>IF('Formularz RN'!M2="RNK/XT","RNKXT_2","")</f>
        <v/>
      </c>
      <c r="K2" s="18" t="str">
        <f>IF('Formularz RN'!M2="RNK/XT","RNKXT_3","")</f>
        <v/>
      </c>
      <c r="L2" s="18" t="str">
        <f>IF('Formularz RN'!M2="RNK/XT","RNKXT_4","")</f>
        <v/>
      </c>
      <c r="M2" s="18" t="str">
        <f>IF('Formularz RN'!M2="RNK/E","RNKE_1","")</f>
        <v/>
      </c>
      <c r="N2" s="18" t="str">
        <f>IF('Formularz RN'!M2="RNK/E","RNKE_2","")</f>
        <v/>
      </c>
      <c r="O2" s="18" t="str">
        <f>IF('Formularz RN'!M2="RNK/E","RNKE_3","")</f>
        <v/>
      </c>
      <c r="P2" s="18" t="str">
        <f>IF('Formularz RN'!M2="RNK/E","RNKE_4","")</f>
        <v/>
      </c>
      <c r="Q2" s="18" t="str">
        <f>IF('Formularz RN'!M2="RNK/B","RNKB_1","")</f>
        <v/>
      </c>
      <c r="R2" s="18" t="str">
        <f>IF('Formularz RN'!M2="RNK/B","RNKB_2","")</f>
        <v/>
      </c>
      <c r="S2" s="18" t="str">
        <f>IF('Formularz RN'!M2="RNK/B","RNKB_3","")</f>
        <v/>
      </c>
      <c r="T2" s="18" t="str">
        <f>IF('Formularz RN'!M2="RNK/B","RNKB_4","")</f>
        <v/>
      </c>
      <c r="U2" s="16" t="s">
        <v>93</v>
      </c>
      <c r="V2" s="15" t="s">
        <v>122</v>
      </c>
      <c r="W2" s="15" t="str">
        <f>IF('Formularz RN'!M2="rns","RNSSKRZYNKA",IF('Formularz RN'!M2="RNK/B","RNKBSKRZYNKA",IF('Formularz RN'!M2="rnK/XT","RNKXTSKRZYNKA",IF('Formularz RN'!M2="rnK/E","RNKESKRZYNKA",""))))</f>
        <v/>
      </c>
      <c r="X2" s="19">
        <v>155</v>
      </c>
      <c r="Y2" s="19">
        <v>165</v>
      </c>
      <c r="Z2" s="19">
        <v>165</v>
      </c>
      <c r="AA2" s="19">
        <v>175</v>
      </c>
      <c r="AB2" s="15" t="str">
        <f>IF('Formularz RN'!M2="rns","RNSLAMELE",IF('Formularz RN'!M2="RNK/B","RNKBLAMELE",IF('Formularz RN'!M2="rnK/XT","RNKXTLAMELE",IF('Formularz RN'!M2="rnK/E","RNKELAMELE",""))))</f>
        <v/>
      </c>
      <c r="AC2" s="15" t="s">
        <v>131</v>
      </c>
      <c r="AD2" s="15" t="s">
        <v>131</v>
      </c>
      <c r="AE2" s="15" t="s">
        <v>131</v>
      </c>
      <c r="AF2" s="15" t="s">
        <v>131</v>
      </c>
      <c r="AG2" s="15" t="str">
        <f>IF('Formularz RN'!M2="RNS",40,IF('Formularz RN'!M2="RNK/B",40,IF('Formularz RN'!M2="RNK/XT",40,IF('Formularz RN'!M2="RNK/E",40,""))))</f>
        <v/>
      </c>
      <c r="AH2" s="15" t="s">
        <v>209</v>
      </c>
      <c r="AI2" s="15" t="s">
        <v>142</v>
      </c>
      <c r="AJ2" s="15" t="s">
        <v>192</v>
      </c>
      <c r="AK2" s="15" t="str">
        <f>IF(OR('Formularz RN'!M2="RNS",'Formularz RN'!M2="RNK/B",'Formularz RN'!M2="RNK/XT",'Formularz RN'!M2="RNK/E"),"OD WEWN.","")</f>
        <v/>
      </c>
      <c r="AL2" s="15" t="str">
        <f>IF('Formularz RN'!M2="RNK/B","XXX","ALUPLAST")</f>
        <v>ALUPLAST</v>
      </c>
      <c r="AM2" s="15" t="str">
        <f>IF(OR('Formularz RN'!M2="RNS",'Formularz RN'!M2="RNK/B",'Formularz RN'!M2="RNK/XT",'Formularz RN'!M2="RNK/E"),"BEZ LISTWY","")</f>
        <v/>
      </c>
      <c r="AN2" s="15" t="str">
        <f>IF(OR('Formularz RN'!M2="RNS",'Formularz RN'!M2="RNK/B",'Formularz RN'!M2="RNK/XT",'Formularz RN'!M2="RNK/E"),"BEZ LISTWY","")</f>
        <v/>
      </c>
      <c r="AO2" s="15" t="s">
        <v>142</v>
      </c>
      <c r="AP2" s="15" t="s">
        <v>159</v>
      </c>
      <c r="AQ2" s="15" t="s">
        <v>162</v>
      </c>
      <c r="AR2" s="15" t="s">
        <v>202</v>
      </c>
      <c r="AS2" s="15" t="s">
        <v>188</v>
      </c>
      <c r="AT2" s="15" t="s">
        <v>181</v>
      </c>
    </row>
    <row r="3" spans="1:46" x14ac:dyDescent="0.25">
      <c r="A3" s="15" t="s">
        <v>0</v>
      </c>
      <c r="B3" s="15" t="s">
        <v>7</v>
      </c>
      <c r="C3" s="15" t="s">
        <v>12</v>
      </c>
      <c r="D3" s="16" t="s">
        <v>17</v>
      </c>
      <c r="E3" s="16"/>
      <c r="F3" s="16" t="s">
        <v>30</v>
      </c>
      <c r="G3" s="16" t="s">
        <v>30</v>
      </c>
      <c r="H3" s="16" t="s">
        <v>30</v>
      </c>
      <c r="I3" s="16" t="s">
        <v>30</v>
      </c>
      <c r="J3" s="16" t="s">
        <v>30</v>
      </c>
      <c r="K3" s="16" t="s">
        <v>30</v>
      </c>
      <c r="L3" s="16" t="s">
        <v>30</v>
      </c>
      <c r="M3" s="16" t="s">
        <v>30</v>
      </c>
      <c r="N3" s="16" t="s">
        <v>30</v>
      </c>
      <c r="O3" s="16" t="s">
        <v>30</v>
      </c>
      <c r="P3" s="16" t="s">
        <v>30</v>
      </c>
      <c r="Q3" s="15" t="s">
        <v>172</v>
      </c>
      <c r="R3" s="15" t="s">
        <v>172</v>
      </c>
      <c r="S3" s="16" t="s">
        <v>30</v>
      </c>
      <c r="T3" s="16" t="s">
        <v>30</v>
      </c>
      <c r="U3" s="16" t="s">
        <v>94</v>
      </c>
      <c r="V3" s="16" t="s">
        <v>93</v>
      </c>
      <c r="X3" s="19">
        <v>181</v>
      </c>
      <c r="Y3" s="19">
        <v>205</v>
      </c>
      <c r="Z3" s="19">
        <v>185</v>
      </c>
      <c r="AA3" s="19">
        <v>200</v>
      </c>
      <c r="AC3" s="15" t="s">
        <v>132</v>
      </c>
      <c r="AD3" s="15" t="s">
        <v>132</v>
      </c>
      <c r="AE3" s="15" t="s">
        <v>132</v>
      </c>
      <c r="AF3" s="15" t="s">
        <v>132</v>
      </c>
      <c r="AG3" s="15" t="str">
        <f>IF('Formularz RN'!M2="RNS",50,IF('Formularz RN'!M2="RNK/XT",50,IF('Formularz RN'!M2="RNK/E",50,"")))</f>
        <v/>
      </c>
      <c r="AH3" s="15" t="s">
        <v>210</v>
      </c>
      <c r="AI3" s="15" t="s">
        <v>143</v>
      </c>
      <c r="AJ3" s="15" t="s">
        <v>194</v>
      </c>
      <c r="AK3" s="15" t="str">
        <f>IF(OR('Formularz RN'!M2="RNK/B",'Formularz RN'!M2="RNK/XT",'Formularz RN'!M2="RNK/E"),"OD DOŁU","")</f>
        <v/>
      </c>
      <c r="AL3" s="15" t="str">
        <f>IF('Formularz RN'!M2="RNK/B","","NIEZNANY")</f>
        <v>NIEZNANY</v>
      </c>
      <c r="AM3" s="15" t="str">
        <f>IF('Formularz RN'!M2="RNK/B","PRZYGOTOWANIE POD ZABUDOWE",IF('Formularz RN'!M2="RNK/XT","25mm SUROWE ALUMINIUM",IF('Formularz RN'!M2="RNK/E","24mm (WZMOCNIONA) SUROWE ALUMINIUM","")))</f>
        <v/>
      </c>
      <c r="AN3" s="15" t="str">
        <f>IF('Formularz RN'!M2="RNK/B","PRZYGOTOWANIE POD ZABUDOWE",IF('Formularz RN'!M2="RNK/XT","LISTWA PVC BIAŁA",IF('Formularz RN'!M2="RNK/E","LISTWA PVC BIAŁA","")))</f>
        <v/>
      </c>
      <c r="AO3" s="15" t="s">
        <v>143</v>
      </c>
      <c r="AP3" s="15" t="s">
        <v>153</v>
      </c>
      <c r="AQ3" s="15" t="s">
        <v>163</v>
      </c>
      <c r="AR3" s="15" t="s">
        <v>203</v>
      </c>
      <c r="AS3" s="15" t="s">
        <v>174</v>
      </c>
      <c r="AT3" s="15" t="s">
        <v>185</v>
      </c>
    </row>
    <row r="4" spans="1:46" x14ac:dyDescent="0.25">
      <c r="A4" s="15" t="s">
        <v>1</v>
      </c>
      <c r="D4" s="16" t="s">
        <v>18</v>
      </c>
      <c r="E4" s="16"/>
      <c r="F4" s="16" t="s">
        <v>31</v>
      </c>
      <c r="G4" s="16" t="s">
        <v>31</v>
      </c>
      <c r="H4" s="16" t="s">
        <v>31</v>
      </c>
      <c r="I4" s="16" t="s">
        <v>31</v>
      </c>
      <c r="J4" s="16" t="s">
        <v>31</v>
      </c>
      <c r="K4" s="16" t="s">
        <v>31</v>
      </c>
      <c r="L4" s="16" t="s">
        <v>31</v>
      </c>
      <c r="M4" s="16" t="s">
        <v>31</v>
      </c>
      <c r="N4" s="16" t="s">
        <v>31</v>
      </c>
      <c r="O4" s="16" t="s">
        <v>31</v>
      </c>
      <c r="P4" s="16" t="s">
        <v>31</v>
      </c>
      <c r="Q4" s="16" t="s">
        <v>30</v>
      </c>
      <c r="R4" s="16" t="s">
        <v>30</v>
      </c>
      <c r="S4" s="16" t="s">
        <v>33</v>
      </c>
      <c r="T4" s="16" t="s">
        <v>33</v>
      </c>
      <c r="U4" s="16" t="s">
        <v>95</v>
      </c>
      <c r="V4" s="16" t="s">
        <v>94</v>
      </c>
      <c r="X4" s="19">
        <v>220</v>
      </c>
      <c r="Y4" s="19">
        <v>245</v>
      </c>
      <c r="Z4" s="19">
        <v>220</v>
      </c>
      <c r="AA4" s="19">
        <v>240</v>
      </c>
      <c r="AC4" s="15" t="s">
        <v>133</v>
      </c>
      <c r="AE4" s="15" t="s">
        <v>134</v>
      </c>
      <c r="AF4" s="15" t="s">
        <v>133</v>
      </c>
      <c r="AG4" s="15" t="str">
        <f>IF('Formularz RN'!M2="RNS",60,IF('Formularz RN'!M2="RNK/B",60,IF('Formularz RN'!M2="RNK/XT",60,IF('Formularz RN'!M2="RNK/E",60,""))))</f>
        <v/>
      </c>
      <c r="AH4" s="15" t="s">
        <v>211</v>
      </c>
      <c r="AJ4" s="15" t="s">
        <v>195</v>
      </c>
      <c r="AK4" s="15" t="str">
        <f>IF('Formularz RN'!M2="RNK/E","OD ZEWN.","")</f>
        <v/>
      </c>
      <c r="AL4" s="15" t="str">
        <f>IF('Formularz RN'!M2="RNK/B","","VEKA 70/82/90mm")</f>
        <v>VEKA 70/82/90mm</v>
      </c>
      <c r="AM4" s="15" t="str">
        <f>IF('Formularz RN'!M2="RNK/B","LISTWA   T   01 BIAŁY",IF('Formularz RN'!M2="RNK/XT","50mm SUROWE ALUMINIUM",IF('Formularz RN'!M2="RNK/E","50mm (WZMOCNIONA) SUROWE ALUMINIUM","")))</f>
        <v/>
      </c>
      <c r="AN4" s="15" t="str">
        <f>IF('Formularz RN'!M2="RNK/B","LISTWA   L   01 BIAŁY",IF('Formularz RN'!M2="RNK/XT","20X30mm SUROWE ALUMINIUM",IF('Formularz RN'!M2="RNK/E","20X30mm SUROWE ALUMINIUM","")))</f>
        <v/>
      </c>
      <c r="AP4" s="15" t="s">
        <v>154</v>
      </c>
      <c r="AQ4" s="15" t="s">
        <v>158</v>
      </c>
      <c r="AR4" s="15" t="s">
        <v>167</v>
      </c>
      <c r="AS4" s="15" t="s">
        <v>175</v>
      </c>
      <c r="AT4" s="15" t="s">
        <v>182</v>
      </c>
    </row>
    <row r="5" spans="1:46" x14ac:dyDescent="0.25">
      <c r="A5" s="15" t="s">
        <v>2</v>
      </c>
      <c r="D5" s="16" t="s">
        <v>19</v>
      </c>
      <c r="E5" s="16"/>
      <c r="F5" s="16" t="s">
        <v>32</v>
      </c>
      <c r="G5" s="16" t="s">
        <v>32</v>
      </c>
      <c r="H5" s="16" t="s">
        <v>32</v>
      </c>
      <c r="I5" s="16" t="s">
        <v>32</v>
      </c>
      <c r="J5" s="16" t="s">
        <v>32</v>
      </c>
      <c r="K5" s="16" t="s">
        <v>32</v>
      </c>
      <c r="L5" s="16" t="s">
        <v>32</v>
      </c>
      <c r="M5" s="16" t="s">
        <v>32</v>
      </c>
      <c r="N5" s="16" t="s">
        <v>32</v>
      </c>
      <c r="O5" s="16" t="s">
        <v>32</v>
      </c>
      <c r="P5" s="16" t="s">
        <v>32</v>
      </c>
      <c r="Q5" s="16" t="s">
        <v>33</v>
      </c>
      <c r="R5" s="16" t="s">
        <v>33</v>
      </c>
      <c r="S5" s="16" t="s">
        <v>34</v>
      </c>
      <c r="T5" s="16" t="s">
        <v>34</v>
      </c>
      <c r="U5" s="16" t="s">
        <v>96</v>
      </c>
      <c r="V5" s="16" t="s">
        <v>95</v>
      </c>
      <c r="AC5" s="15" t="s">
        <v>134</v>
      </c>
      <c r="AE5" s="15" t="s">
        <v>135</v>
      </c>
      <c r="AF5" s="15" t="s">
        <v>134</v>
      </c>
      <c r="AH5" s="15" t="s">
        <v>213</v>
      </c>
      <c r="AJ5" s="15" t="s">
        <v>193</v>
      </c>
      <c r="AL5" s="15" t="str">
        <f>IF('Formularz RN'!M2="RNK/B","","BRUGMANN 73")</f>
        <v>BRUGMANN 73</v>
      </c>
      <c r="AM5" s="15" t="str">
        <f>IF('Formularz RN'!M2="RNK/B","LISTWA   T   03 BRĄZOWY",IF('Formularz RN'!M2="RNK/XT","20X30mm SUROWE ALUMINIUM",""))</f>
        <v/>
      </c>
      <c r="AN5" s="15" t="str">
        <f>IF('Formularz RN'!M2="RNK/B","LISTWA   L   03 BRĄZOWY","")</f>
        <v/>
      </c>
      <c r="AP5" s="15" t="s">
        <v>155</v>
      </c>
      <c r="AR5" s="15" t="s">
        <v>204</v>
      </c>
      <c r="AS5" s="15" t="s">
        <v>176</v>
      </c>
      <c r="AT5" s="15" t="s">
        <v>183</v>
      </c>
    </row>
    <row r="6" spans="1:46" x14ac:dyDescent="0.25">
      <c r="D6" s="16" t="s">
        <v>20</v>
      </c>
      <c r="E6" s="16"/>
      <c r="F6" s="16" t="s">
        <v>33</v>
      </c>
      <c r="G6" s="16" t="s">
        <v>33</v>
      </c>
      <c r="H6" s="16" t="s">
        <v>33</v>
      </c>
      <c r="I6" s="16" t="s">
        <v>33</v>
      </c>
      <c r="J6" s="16" t="s">
        <v>33</v>
      </c>
      <c r="K6" s="16" t="s">
        <v>33</v>
      </c>
      <c r="L6" s="16" t="s">
        <v>33</v>
      </c>
      <c r="M6" s="16" t="s">
        <v>33</v>
      </c>
      <c r="N6" s="16" t="s">
        <v>33</v>
      </c>
      <c r="O6" s="16" t="s">
        <v>33</v>
      </c>
      <c r="P6" s="16" t="s">
        <v>33</v>
      </c>
      <c r="Q6" s="16" t="s">
        <v>34</v>
      </c>
      <c r="R6" s="16" t="s">
        <v>34</v>
      </c>
      <c r="S6" s="16" t="s">
        <v>35</v>
      </c>
      <c r="T6" s="16" t="s">
        <v>35</v>
      </c>
      <c r="U6" s="16" t="s">
        <v>97</v>
      </c>
      <c r="V6" s="16" t="s">
        <v>96</v>
      </c>
      <c r="AC6" s="15" t="s">
        <v>135</v>
      </c>
      <c r="AF6" s="15" t="s">
        <v>135</v>
      </c>
      <c r="AL6" s="15" t="str">
        <f>IF('Formularz RN'!M2="RNK/B","","BRUGMANN 92")</f>
        <v>BRUGMANN 92</v>
      </c>
      <c r="AM6" s="15" t="str">
        <f>IF('Formularz RN'!M2="RNK/B","LISTWA   T   43 SZARY ANTRACYT","")</f>
        <v/>
      </c>
      <c r="AN6" s="15" t="str">
        <f>IF('Formularz RN'!M2="RNK/B","LISTWA   L   43 SZARY ANTRACYT","")</f>
        <v/>
      </c>
      <c r="AP6" s="15" t="s">
        <v>156</v>
      </c>
      <c r="AR6" s="15" t="s">
        <v>205</v>
      </c>
      <c r="AS6" s="15" t="s">
        <v>178</v>
      </c>
      <c r="AT6" s="15" t="s">
        <v>184</v>
      </c>
    </row>
    <row r="7" spans="1:46" x14ac:dyDescent="0.25">
      <c r="D7" s="16"/>
      <c r="E7" s="18" t="str">
        <f>IF('Formularz RN'!M2="RNS","RNS_1",IF('Formularz RN'!M2="RNK/XT","RNKXT_1",IF('Formularz RN'!M2="RNK/E","RNKE_1",IF('Formularz RN'!M2="RNK/B","RNKB_1",""))))</f>
        <v/>
      </c>
      <c r="F7" s="16" t="s">
        <v>34</v>
      </c>
      <c r="G7" s="16" t="s">
        <v>34</v>
      </c>
      <c r="H7" s="16" t="s">
        <v>34</v>
      </c>
      <c r="I7" s="16" t="s">
        <v>34</v>
      </c>
      <c r="J7" s="16" t="s">
        <v>34</v>
      </c>
      <c r="K7" s="16" t="s">
        <v>34</v>
      </c>
      <c r="L7" s="16" t="s">
        <v>34</v>
      </c>
      <c r="M7" s="16" t="s">
        <v>34</v>
      </c>
      <c r="N7" s="16" t="s">
        <v>34</v>
      </c>
      <c r="O7" s="16" t="s">
        <v>34</v>
      </c>
      <c r="P7" s="16" t="s">
        <v>34</v>
      </c>
      <c r="Q7" s="16" t="s">
        <v>35</v>
      </c>
      <c r="R7" s="16" t="s">
        <v>35</v>
      </c>
      <c r="S7" s="16" t="s">
        <v>38</v>
      </c>
      <c r="T7" s="16" t="s">
        <v>36</v>
      </c>
      <c r="U7" s="16" t="s">
        <v>98</v>
      </c>
      <c r="V7" s="16" t="s">
        <v>34</v>
      </c>
      <c r="AL7" s="15" t="str">
        <f>IF('Formularz RN'!M2="RNK/B","","DECEUNINCK 70")</f>
        <v>DECEUNINCK 70</v>
      </c>
      <c r="AM7" s="15" t="str">
        <f>IF('Formularz RN'!M2="RNK/B","20X30mm SUROWE ALUMINIUM","")</f>
        <v/>
      </c>
      <c r="AN7" s="15" t="str">
        <f>IF('Formularz RN'!M2="RNK/B","20X30mm SUROWE ALUMINIUM","")</f>
        <v/>
      </c>
      <c r="AP7" s="15" t="s">
        <v>157</v>
      </c>
      <c r="AR7" s="15" t="s">
        <v>206</v>
      </c>
      <c r="AS7" s="15" t="s">
        <v>177</v>
      </c>
    </row>
    <row r="8" spans="1:46" x14ac:dyDescent="0.25">
      <c r="D8" s="16"/>
      <c r="E8" s="18" t="str">
        <f>IF('Formularz RN'!M2="RNS","RNS_2",IF('Formularz RN'!M2="RNK/XT","RNKXT_2",IF('Formularz RN'!M2="RNK/E","RNKE_2",IF('Formularz RN'!M2="RNK/B","RNKB_2",""))))</f>
        <v/>
      </c>
      <c r="F8" s="16" t="s">
        <v>35</v>
      </c>
      <c r="G8" s="16" t="s">
        <v>35</v>
      </c>
      <c r="H8" s="16" t="s">
        <v>35</v>
      </c>
      <c r="I8" s="16" t="s">
        <v>35</v>
      </c>
      <c r="J8" s="16" t="s">
        <v>35</v>
      </c>
      <c r="K8" s="16" t="s">
        <v>35</v>
      </c>
      <c r="L8" s="16" t="s">
        <v>35</v>
      </c>
      <c r="M8" s="16" t="s">
        <v>35</v>
      </c>
      <c r="N8" s="16" t="s">
        <v>35</v>
      </c>
      <c r="O8" s="16" t="s">
        <v>35</v>
      </c>
      <c r="P8" s="16" t="s">
        <v>35</v>
      </c>
      <c r="Q8" s="16" t="s">
        <v>38</v>
      </c>
      <c r="R8" s="16" t="s">
        <v>38</v>
      </c>
      <c r="S8" s="16" t="s">
        <v>39</v>
      </c>
      <c r="T8" s="16" t="s">
        <v>38</v>
      </c>
      <c r="U8" s="16" t="s">
        <v>99</v>
      </c>
      <c r="V8" s="16" t="s">
        <v>123</v>
      </c>
      <c r="AL8" s="15" t="str">
        <f>IF('Formularz RN'!M2="RNK/B","","GEALAN 74/83")</f>
        <v>GEALAN 74/83</v>
      </c>
      <c r="AR8" s="15" t="s">
        <v>168</v>
      </c>
    </row>
    <row r="9" spans="1:46" x14ac:dyDescent="0.25">
      <c r="D9" s="16"/>
      <c r="E9" s="18" t="str">
        <f>IF('Formularz RN'!M2="RNK/XT","RNKXT_3",IF('Formularz RN'!M2="RNK/E","RNKE_3",IF('Formularz RN'!M2="RNK/B","RNKB_3","")))</f>
        <v/>
      </c>
      <c r="F9" s="16" t="s">
        <v>36</v>
      </c>
      <c r="G9" s="16" t="s">
        <v>36</v>
      </c>
      <c r="H9" s="16" t="s">
        <v>36</v>
      </c>
      <c r="I9" s="16" t="s">
        <v>36</v>
      </c>
      <c r="J9" s="16" t="s">
        <v>36</v>
      </c>
      <c r="K9" s="16" t="s">
        <v>36</v>
      </c>
      <c r="L9" s="16" t="s">
        <v>36</v>
      </c>
      <c r="M9" s="16" t="s">
        <v>36</v>
      </c>
      <c r="N9" s="16" t="s">
        <v>36</v>
      </c>
      <c r="O9" s="16" t="s">
        <v>36</v>
      </c>
      <c r="P9" s="16" t="s">
        <v>36</v>
      </c>
      <c r="Q9" s="16" t="s">
        <v>39</v>
      </c>
      <c r="R9" s="16" t="s">
        <v>39</v>
      </c>
      <c r="S9" s="16" t="s">
        <v>42</v>
      </c>
      <c r="T9" s="16" t="s">
        <v>39</v>
      </c>
      <c r="U9" s="16" t="s">
        <v>100</v>
      </c>
      <c r="V9" s="16" t="s">
        <v>102</v>
      </c>
      <c r="AL9" s="15" t="str">
        <f>IF('Formularz RN'!M2="RNK/B","","GEALAN 83 (S9000)")</f>
        <v>GEALAN 83 (S9000)</v>
      </c>
      <c r="AR9" s="15" t="s">
        <v>169</v>
      </c>
    </row>
    <row r="10" spans="1:46" x14ac:dyDescent="0.25">
      <c r="E10" s="18" t="str">
        <f>IF('Formularz RN'!M2="RNS","RNS_4",IF('Formularz RN'!M2="RNK/XT","RNKXT_4",IF('Formularz RN'!M2="RNK/E","RNKE_4",IF('Formularz RN'!M2="RNK/B","RNKB_4",""))))</f>
        <v/>
      </c>
      <c r="F10" s="16" t="s">
        <v>37</v>
      </c>
      <c r="G10" s="16" t="s">
        <v>37</v>
      </c>
      <c r="H10" s="16" t="s">
        <v>37</v>
      </c>
      <c r="I10" s="16" t="s">
        <v>37</v>
      </c>
      <c r="J10" s="16" t="s">
        <v>37</v>
      </c>
      <c r="K10" s="16" t="s">
        <v>37</v>
      </c>
      <c r="L10" s="16" t="s">
        <v>37</v>
      </c>
      <c r="M10" s="16" t="s">
        <v>37</v>
      </c>
      <c r="N10" s="16" t="s">
        <v>37</v>
      </c>
      <c r="O10" s="16" t="s">
        <v>37</v>
      </c>
      <c r="P10" s="16" t="s">
        <v>37</v>
      </c>
      <c r="Q10" s="16" t="s">
        <v>40</v>
      </c>
      <c r="R10" s="16" t="s">
        <v>42</v>
      </c>
      <c r="S10" s="16" t="s">
        <v>44</v>
      </c>
      <c r="T10" s="16" t="s">
        <v>40</v>
      </c>
      <c r="U10" s="16" t="s">
        <v>102</v>
      </c>
      <c r="V10" s="16" t="s">
        <v>101</v>
      </c>
      <c r="AL10" s="15" t="str">
        <f>IF('Formularz RN'!M2="RNK/B","","INOUTIC 71")</f>
        <v>INOUTIC 71</v>
      </c>
      <c r="AR10" s="15" t="s">
        <v>170</v>
      </c>
    </row>
    <row r="11" spans="1:46" x14ac:dyDescent="0.25">
      <c r="F11" s="16" t="s">
        <v>38</v>
      </c>
      <c r="G11" s="16" t="s">
        <v>38</v>
      </c>
      <c r="H11" s="16" t="s">
        <v>38</v>
      </c>
      <c r="I11" s="16" t="s">
        <v>38</v>
      </c>
      <c r="J11" s="16" t="s">
        <v>38</v>
      </c>
      <c r="K11" s="16" t="s">
        <v>38</v>
      </c>
      <c r="L11" s="16" t="s">
        <v>38</v>
      </c>
      <c r="M11" s="16" t="s">
        <v>38</v>
      </c>
      <c r="N11" s="16" t="s">
        <v>38</v>
      </c>
      <c r="O11" s="16" t="s">
        <v>38</v>
      </c>
      <c r="P11" s="16" t="s">
        <v>38</v>
      </c>
      <c r="Q11" s="16" t="s">
        <v>42</v>
      </c>
      <c r="R11" s="16" t="s">
        <v>44</v>
      </c>
      <c r="S11" s="16" t="s">
        <v>45</v>
      </c>
      <c r="T11" s="16" t="s">
        <v>42</v>
      </c>
      <c r="U11" s="16" t="s">
        <v>101</v>
      </c>
      <c r="V11" s="16" t="s">
        <v>103</v>
      </c>
      <c r="AL11" s="15" t="str">
        <f>IF('Formularz RN'!M2="RNK/B","","INOUTIC 76")</f>
        <v>INOUTIC 76</v>
      </c>
      <c r="AR11" s="15" t="s">
        <v>171</v>
      </c>
    </row>
    <row r="12" spans="1:46" x14ac:dyDescent="0.25">
      <c r="F12" s="16" t="s">
        <v>39</v>
      </c>
      <c r="G12" s="16" t="s">
        <v>39</v>
      </c>
      <c r="H12" s="16" t="s">
        <v>39</v>
      </c>
      <c r="I12" s="16" t="s">
        <v>39</v>
      </c>
      <c r="J12" s="16" t="s">
        <v>39</v>
      </c>
      <c r="K12" s="16" t="s">
        <v>39</v>
      </c>
      <c r="L12" s="16" t="s">
        <v>39</v>
      </c>
      <c r="M12" s="16" t="s">
        <v>39</v>
      </c>
      <c r="N12" s="16" t="s">
        <v>39</v>
      </c>
      <c r="O12" s="16" t="s">
        <v>39</v>
      </c>
      <c r="P12" s="16" t="s">
        <v>39</v>
      </c>
      <c r="Q12" s="16" t="s">
        <v>44</v>
      </c>
      <c r="R12" s="16" t="s">
        <v>45</v>
      </c>
      <c r="S12" s="16" t="s">
        <v>48</v>
      </c>
      <c r="T12" s="16" t="s">
        <v>44</v>
      </c>
      <c r="U12" s="16" t="s">
        <v>103</v>
      </c>
      <c r="V12" s="16" t="s">
        <v>124</v>
      </c>
      <c r="AL12" s="15" t="str">
        <f>IF('Formularz RN'!M2="RNK/B","","INOUTIC 84")</f>
        <v>INOUTIC 84</v>
      </c>
      <c r="AR12" s="15" t="s">
        <v>214</v>
      </c>
    </row>
    <row r="13" spans="1:46" x14ac:dyDescent="0.25">
      <c r="F13" s="16" t="s">
        <v>40</v>
      </c>
      <c r="G13" s="16" t="s">
        <v>40</v>
      </c>
      <c r="H13" s="16" t="s">
        <v>40</v>
      </c>
      <c r="I13" s="16" t="s">
        <v>40</v>
      </c>
      <c r="J13" s="16" t="s">
        <v>40</v>
      </c>
      <c r="K13" s="16" t="s">
        <v>40</v>
      </c>
      <c r="L13" s="16" t="s">
        <v>40</v>
      </c>
      <c r="M13" s="16" t="s">
        <v>40</v>
      </c>
      <c r="N13" s="16" t="s">
        <v>40</v>
      </c>
      <c r="O13" s="16" t="s">
        <v>40</v>
      </c>
      <c r="P13" s="16" t="s">
        <v>40</v>
      </c>
      <c r="Q13" s="16" t="s">
        <v>45</v>
      </c>
      <c r="R13" s="16" t="s">
        <v>48</v>
      </c>
      <c r="S13" s="16" t="s">
        <v>49</v>
      </c>
      <c r="T13" s="16" t="s">
        <v>45</v>
      </c>
      <c r="U13" s="16" t="s">
        <v>104</v>
      </c>
      <c r="V13" s="16" t="s">
        <v>106</v>
      </c>
      <c r="AL13" s="15" t="str">
        <f>IF('Formularz RN'!M2="RNK/B","","KBE 70")</f>
        <v>KBE 70</v>
      </c>
    </row>
    <row r="14" spans="1:46" x14ac:dyDescent="0.25">
      <c r="F14" s="16" t="s">
        <v>41</v>
      </c>
      <c r="G14" s="16" t="s">
        <v>41</v>
      </c>
      <c r="H14" s="16" t="s">
        <v>41</v>
      </c>
      <c r="I14" s="16" t="s">
        <v>41</v>
      </c>
      <c r="J14" s="16" t="s">
        <v>41</v>
      </c>
      <c r="K14" s="16" t="s">
        <v>41</v>
      </c>
      <c r="L14" s="16" t="s">
        <v>41</v>
      </c>
      <c r="M14" s="16" t="s">
        <v>41</v>
      </c>
      <c r="N14" s="16" t="s">
        <v>41</v>
      </c>
      <c r="O14" s="16" t="s">
        <v>41</v>
      </c>
      <c r="P14" s="16" t="s">
        <v>41</v>
      </c>
      <c r="Q14" s="16" t="s">
        <v>48</v>
      </c>
      <c r="R14" s="16" t="s">
        <v>49</v>
      </c>
      <c r="S14" s="16" t="s">
        <v>50</v>
      </c>
      <c r="T14" s="16" t="s">
        <v>48</v>
      </c>
      <c r="U14" s="16" t="s">
        <v>105</v>
      </c>
      <c r="V14" s="16" t="s">
        <v>73</v>
      </c>
      <c r="AL14" s="15" t="str">
        <f>IF('Formularz RN'!M2="RNK/B","","KOMMERLING 70")</f>
        <v>KOMMERLING 70</v>
      </c>
    </row>
    <row r="15" spans="1:46" x14ac:dyDescent="0.25">
      <c r="F15" s="16" t="s">
        <v>42</v>
      </c>
      <c r="G15" s="16" t="s">
        <v>42</v>
      </c>
      <c r="H15" s="16" t="s">
        <v>42</v>
      </c>
      <c r="I15" s="16" t="s">
        <v>42</v>
      </c>
      <c r="J15" s="16" t="s">
        <v>42</v>
      </c>
      <c r="K15" s="16" t="s">
        <v>42</v>
      </c>
      <c r="L15" s="16" t="s">
        <v>42</v>
      </c>
      <c r="M15" s="16" t="s">
        <v>42</v>
      </c>
      <c r="N15" s="16" t="s">
        <v>42</v>
      </c>
      <c r="O15" s="16" t="s">
        <v>42</v>
      </c>
      <c r="P15" s="16" t="s">
        <v>42</v>
      </c>
      <c r="Q15" s="16" t="s">
        <v>49</v>
      </c>
      <c r="R15" s="16" t="s">
        <v>50</v>
      </c>
      <c r="S15" s="16" t="s">
        <v>56</v>
      </c>
      <c r="T15" s="16" t="s">
        <v>49</v>
      </c>
      <c r="U15" s="16" t="s">
        <v>124</v>
      </c>
      <c r="V15" s="16" t="s">
        <v>75</v>
      </c>
      <c r="AL15" s="15" t="str">
        <f>IF('Formularz RN'!M2="RNK/B","","PROFINE 76")</f>
        <v>PROFINE 76</v>
      </c>
    </row>
    <row r="16" spans="1:46" x14ac:dyDescent="0.25">
      <c r="F16" s="16" t="s">
        <v>43</v>
      </c>
      <c r="G16" s="16" t="s">
        <v>43</v>
      </c>
      <c r="H16" s="16" t="s">
        <v>43</v>
      </c>
      <c r="I16" s="16" t="s">
        <v>43</v>
      </c>
      <c r="J16" s="16" t="s">
        <v>43</v>
      </c>
      <c r="K16" s="16" t="s">
        <v>43</v>
      </c>
      <c r="L16" s="16" t="s">
        <v>43</v>
      </c>
      <c r="M16" s="16" t="s">
        <v>43</v>
      </c>
      <c r="N16" s="16" t="s">
        <v>43</v>
      </c>
      <c r="O16" s="16" t="s">
        <v>43</v>
      </c>
      <c r="P16" s="16" t="s">
        <v>43</v>
      </c>
      <c r="Q16" s="16" t="s">
        <v>50</v>
      </c>
      <c r="R16" s="16" t="s">
        <v>56</v>
      </c>
      <c r="S16" s="16" t="s">
        <v>59</v>
      </c>
      <c r="T16" s="16" t="s">
        <v>50</v>
      </c>
      <c r="U16" s="16" t="s">
        <v>106</v>
      </c>
      <c r="V16" s="16"/>
      <c r="AL16" s="15" t="str">
        <f>IF('Formularz RN'!M2="RNK/B","","PROFINE 88")</f>
        <v>PROFINE 88</v>
      </c>
    </row>
    <row r="17" spans="6:38" x14ac:dyDescent="0.25">
      <c r="F17" s="16" t="s">
        <v>44</v>
      </c>
      <c r="G17" s="16" t="s">
        <v>44</v>
      </c>
      <c r="H17" s="16" t="s">
        <v>44</v>
      </c>
      <c r="I17" s="16" t="s">
        <v>44</v>
      </c>
      <c r="J17" s="16" t="s">
        <v>44</v>
      </c>
      <c r="K17" s="16" t="s">
        <v>44</v>
      </c>
      <c r="L17" s="16" t="s">
        <v>44</v>
      </c>
      <c r="M17" s="16" t="s">
        <v>44</v>
      </c>
      <c r="N17" s="16" t="s">
        <v>44</v>
      </c>
      <c r="O17" s="16" t="s">
        <v>44</v>
      </c>
      <c r="P17" s="16" t="s">
        <v>44</v>
      </c>
      <c r="Q17" s="16" t="s">
        <v>56</v>
      </c>
      <c r="R17" s="16" t="s">
        <v>59</v>
      </c>
      <c r="S17" s="16" t="s">
        <v>61</v>
      </c>
      <c r="T17" s="16" t="s">
        <v>56</v>
      </c>
      <c r="U17" s="16" t="s">
        <v>107</v>
      </c>
      <c r="V17" s="16"/>
      <c r="AL17" s="15" t="str">
        <f>IF('Formularz RN'!M2="RNK/B","","REHAU 70/86")</f>
        <v>REHAU 70/86</v>
      </c>
    </row>
    <row r="18" spans="6:38" x14ac:dyDescent="0.25">
      <c r="F18" s="16" t="s">
        <v>45</v>
      </c>
      <c r="G18" s="16" t="s">
        <v>45</v>
      </c>
      <c r="H18" s="16" t="s">
        <v>45</v>
      </c>
      <c r="I18" s="16" t="s">
        <v>45</v>
      </c>
      <c r="J18" s="16" t="s">
        <v>45</v>
      </c>
      <c r="K18" s="16" t="s">
        <v>45</v>
      </c>
      <c r="L18" s="16" t="s">
        <v>45</v>
      </c>
      <c r="M18" s="16" t="s">
        <v>45</v>
      </c>
      <c r="N18" s="16" t="s">
        <v>45</v>
      </c>
      <c r="O18" s="16" t="s">
        <v>45</v>
      </c>
      <c r="P18" s="16" t="s">
        <v>45</v>
      </c>
      <c r="Q18" s="16" t="s">
        <v>59</v>
      </c>
      <c r="R18" s="16" t="s">
        <v>61</v>
      </c>
      <c r="S18" s="16" t="s">
        <v>73</v>
      </c>
      <c r="T18" s="16" t="s">
        <v>59</v>
      </c>
      <c r="U18" s="16" t="s">
        <v>108</v>
      </c>
      <c r="V18" s="16"/>
      <c r="AL18" s="15" t="str">
        <f>IF('Formularz RN'!M2="RNK/B","","SALAMANDER 70/76")</f>
        <v>SALAMANDER 70/76</v>
      </c>
    </row>
    <row r="19" spans="6:38" x14ac:dyDescent="0.25">
      <c r="F19" s="16" t="s">
        <v>46</v>
      </c>
      <c r="G19" s="16" t="s">
        <v>46</v>
      </c>
      <c r="H19" s="16" t="s">
        <v>46</v>
      </c>
      <c r="I19" s="16" t="s">
        <v>46</v>
      </c>
      <c r="J19" s="16" t="s">
        <v>46</v>
      </c>
      <c r="K19" s="16" t="s">
        <v>46</v>
      </c>
      <c r="L19" s="16" t="s">
        <v>46</v>
      </c>
      <c r="M19" s="16" t="s">
        <v>46</v>
      </c>
      <c r="N19" s="16" t="s">
        <v>46</v>
      </c>
      <c r="O19" s="16" t="s">
        <v>46</v>
      </c>
      <c r="P19" s="16" t="s">
        <v>46</v>
      </c>
      <c r="Q19" s="16" t="s">
        <v>61</v>
      </c>
      <c r="R19" s="16" t="s">
        <v>73</v>
      </c>
      <c r="S19" s="16" t="s">
        <v>74</v>
      </c>
      <c r="T19" s="16" t="s">
        <v>61</v>
      </c>
      <c r="U19" s="16" t="s">
        <v>109</v>
      </c>
      <c r="V19" s="16"/>
      <c r="AL19" s="15" t="str">
        <f>IF('Formularz RN'!M2="RNK/B","","SALAMANDER 92")</f>
        <v>SALAMANDER 92</v>
      </c>
    </row>
    <row r="20" spans="6:38" x14ac:dyDescent="0.25">
      <c r="F20" s="16" t="s">
        <v>47</v>
      </c>
      <c r="G20" s="16" t="s">
        <v>47</v>
      </c>
      <c r="H20" s="16" t="s">
        <v>47</v>
      </c>
      <c r="I20" s="16" t="s">
        <v>47</v>
      </c>
      <c r="J20" s="16" t="s">
        <v>47</v>
      </c>
      <c r="K20" s="16" t="s">
        <v>47</v>
      </c>
      <c r="L20" s="16" t="s">
        <v>47</v>
      </c>
      <c r="M20" s="16" t="s">
        <v>47</v>
      </c>
      <c r="N20" s="16" t="s">
        <v>47</v>
      </c>
      <c r="O20" s="16" t="s">
        <v>47</v>
      </c>
      <c r="P20" s="16" t="s">
        <v>47</v>
      </c>
      <c r="Q20" s="16" t="s">
        <v>73</v>
      </c>
      <c r="R20" s="16" t="s">
        <v>74</v>
      </c>
      <c r="S20" s="16"/>
      <c r="T20" s="16" t="s">
        <v>73</v>
      </c>
      <c r="U20" s="16" t="s">
        <v>110</v>
      </c>
      <c r="V20" s="16"/>
      <c r="AL20" s="15" t="str">
        <f>IF('Formularz RN'!M2="RNK/B","","SCHUCO 70")</f>
        <v>SCHUCO 70</v>
      </c>
    </row>
    <row r="21" spans="6:38" x14ac:dyDescent="0.25">
      <c r="F21" s="16" t="s">
        <v>48</v>
      </c>
      <c r="G21" s="16" t="s">
        <v>48</v>
      </c>
      <c r="H21" s="16" t="s">
        <v>48</v>
      </c>
      <c r="I21" s="16" t="s">
        <v>48</v>
      </c>
      <c r="J21" s="16" t="s">
        <v>48</v>
      </c>
      <c r="K21" s="16" t="s">
        <v>48</v>
      </c>
      <c r="L21" s="16" t="s">
        <v>48</v>
      </c>
      <c r="M21" s="16" t="s">
        <v>48</v>
      </c>
      <c r="N21" s="16" t="s">
        <v>48</v>
      </c>
      <c r="O21" s="16" t="s">
        <v>48</v>
      </c>
      <c r="P21" s="16" t="s">
        <v>48</v>
      </c>
      <c r="Q21" s="16" t="s">
        <v>74</v>
      </c>
      <c r="T21" s="16" t="s">
        <v>74</v>
      </c>
      <c r="U21" s="16" t="s">
        <v>111</v>
      </c>
      <c r="V21" s="16"/>
      <c r="AL21" s="15" t="str">
        <f>IF('Formularz RN'!M2="RNK/B","","SCHUCO 82")</f>
        <v>SCHUCO 82</v>
      </c>
    </row>
    <row r="22" spans="6:38" x14ac:dyDescent="0.25">
      <c r="F22" s="16" t="s">
        <v>49</v>
      </c>
      <c r="G22" s="16" t="s">
        <v>49</v>
      </c>
      <c r="H22" s="16" t="s">
        <v>49</v>
      </c>
      <c r="I22" s="16" t="s">
        <v>49</v>
      </c>
      <c r="J22" s="16" t="s">
        <v>49</v>
      </c>
      <c r="K22" s="16" t="s">
        <v>49</v>
      </c>
      <c r="L22" s="16" t="s">
        <v>49</v>
      </c>
      <c r="M22" s="16" t="s">
        <v>49</v>
      </c>
      <c r="N22" s="16" t="s">
        <v>49</v>
      </c>
      <c r="O22" s="16" t="s">
        <v>49</v>
      </c>
      <c r="P22" s="16" t="s">
        <v>49</v>
      </c>
      <c r="Q22" s="16" t="s">
        <v>75</v>
      </c>
      <c r="T22" s="16" t="s">
        <v>75</v>
      </c>
      <c r="U22" s="16" t="s">
        <v>112</v>
      </c>
      <c r="V22" s="16"/>
      <c r="AL22" s="15" t="str">
        <f>IF('Formularz RN'!M2="RNK/B","","TROCAL 70")</f>
        <v>TROCAL 70</v>
      </c>
    </row>
    <row r="23" spans="6:38" x14ac:dyDescent="0.25">
      <c r="F23" s="16" t="s">
        <v>50</v>
      </c>
      <c r="G23" s="16" t="s">
        <v>50</v>
      </c>
      <c r="H23" s="16" t="s">
        <v>50</v>
      </c>
      <c r="I23" s="16" t="s">
        <v>50</v>
      </c>
      <c r="J23" s="16" t="s">
        <v>50</v>
      </c>
      <c r="K23" s="16" t="s">
        <v>50</v>
      </c>
      <c r="L23" s="16" t="s">
        <v>50</v>
      </c>
      <c r="M23" s="16" t="s">
        <v>50</v>
      </c>
      <c r="N23" s="16" t="s">
        <v>50</v>
      </c>
      <c r="O23" s="16" t="s">
        <v>50</v>
      </c>
      <c r="P23" s="16" t="s">
        <v>50</v>
      </c>
      <c r="U23" s="16" t="s">
        <v>113</v>
      </c>
      <c r="V23" s="16"/>
    </row>
    <row r="24" spans="6:38" x14ac:dyDescent="0.25">
      <c r="F24" s="16" t="s">
        <v>51</v>
      </c>
      <c r="G24" s="16" t="s">
        <v>51</v>
      </c>
      <c r="H24" s="16" t="s">
        <v>51</v>
      </c>
      <c r="I24" s="16" t="s">
        <v>51</v>
      </c>
      <c r="J24" s="16" t="s">
        <v>51</v>
      </c>
      <c r="K24" s="16" t="s">
        <v>51</v>
      </c>
      <c r="L24" s="16" t="s">
        <v>51</v>
      </c>
      <c r="M24" s="16" t="s">
        <v>51</v>
      </c>
      <c r="N24" s="16" t="s">
        <v>51</v>
      </c>
      <c r="O24" s="16" t="s">
        <v>51</v>
      </c>
      <c r="P24" s="16" t="s">
        <v>51</v>
      </c>
      <c r="U24" s="16" t="s">
        <v>114</v>
      </c>
      <c r="V24" s="16"/>
    </row>
    <row r="25" spans="6:38" x14ac:dyDescent="0.25">
      <c r="F25" s="16" t="s">
        <v>52</v>
      </c>
      <c r="G25" s="16" t="s">
        <v>52</v>
      </c>
      <c r="H25" s="16" t="s">
        <v>52</v>
      </c>
      <c r="I25" s="16" t="s">
        <v>52</v>
      </c>
      <c r="J25" s="16" t="s">
        <v>52</v>
      </c>
      <c r="K25" s="16" t="s">
        <v>52</v>
      </c>
      <c r="L25" s="16" t="s">
        <v>52</v>
      </c>
      <c r="M25" s="16" t="s">
        <v>52</v>
      </c>
      <c r="N25" s="16" t="s">
        <v>52</v>
      </c>
      <c r="O25" s="16" t="s">
        <v>52</v>
      </c>
      <c r="P25" s="16" t="s">
        <v>52</v>
      </c>
      <c r="U25" s="16" t="s">
        <v>115</v>
      </c>
      <c r="V25" s="16"/>
    </row>
    <row r="26" spans="6:38" x14ac:dyDescent="0.25">
      <c r="F26" s="16" t="s">
        <v>53</v>
      </c>
      <c r="G26" s="16" t="s">
        <v>53</v>
      </c>
      <c r="H26" s="16" t="s">
        <v>53</v>
      </c>
      <c r="I26" s="16" t="s">
        <v>53</v>
      </c>
      <c r="J26" s="16" t="s">
        <v>53</v>
      </c>
      <c r="K26" s="16" t="s">
        <v>53</v>
      </c>
      <c r="L26" s="16" t="s">
        <v>53</v>
      </c>
      <c r="M26" s="16" t="s">
        <v>53</v>
      </c>
      <c r="N26" s="16" t="s">
        <v>53</v>
      </c>
      <c r="O26" s="16" t="s">
        <v>53</v>
      </c>
      <c r="P26" s="16" t="s">
        <v>53</v>
      </c>
      <c r="U26" s="16" t="s">
        <v>116</v>
      </c>
      <c r="V26" s="16"/>
    </row>
    <row r="27" spans="6:38" x14ac:dyDescent="0.25">
      <c r="F27" s="16" t="s">
        <v>54</v>
      </c>
      <c r="G27" s="16" t="s">
        <v>54</v>
      </c>
      <c r="H27" s="16" t="s">
        <v>54</v>
      </c>
      <c r="I27" s="16" t="s">
        <v>54</v>
      </c>
      <c r="J27" s="16" t="s">
        <v>54</v>
      </c>
      <c r="K27" s="16" t="s">
        <v>54</v>
      </c>
      <c r="L27" s="16" t="s">
        <v>54</v>
      </c>
      <c r="M27" s="16" t="s">
        <v>54</v>
      </c>
      <c r="N27" s="16" t="s">
        <v>54</v>
      </c>
      <c r="O27" s="16" t="s">
        <v>54</v>
      </c>
      <c r="P27" s="16" t="s">
        <v>54</v>
      </c>
      <c r="U27" s="16" t="s">
        <v>117</v>
      </c>
      <c r="V27" s="16"/>
    </row>
    <row r="28" spans="6:38" x14ac:dyDescent="0.25">
      <c r="F28" s="16" t="s">
        <v>55</v>
      </c>
      <c r="G28" s="16" t="s">
        <v>55</v>
      </c>
      <c r="H28" s="16" t="s">
        <v>55</v>
      </c>
      <c r="I28" s="16" t="s">
        <v>55</v>
      </c>
      <c r="J28" s="16" t="s">
        <v>55</v>
      </c>
      <c r="K28" s="16" t="s">
        <v>55</v>
      </c>
      <c r="L28" s="16" t="s">
        <v>55</v>
      </c>
      <c r="M28" s="16" t="s">
        <v>55</v>
      </c>
      <c r="N28" s="16" t="s">
        <v>55</v>
      </c>
      <c r="O28" s="16" t="s">
        <v>55</v>
      </c>
      <c r="P28" s="16" t="s">
        <v>55</v>
      </c>
      <c r="U28" s="16" t="s">
        <v>118</v>
      </c>
    </row>
    <row r="29" spans="6:38" x14ac:dyDescent="0.25">
      <c r="F29" s="16" t="s">
        <v>56</v>
      </c>
      <c r="G29" s="16" t="s">
        <v>56</v>
      </c>
      <c r="H29" s="16" t="s">
        <v>56</v>
      </c>
      <c r="I29" s="16" t="s">
        <v>56</v>
      </c>
      <c r="J29" s="16" t="s">
        <v>56</v>
      </c>
      <c r="K29" s="16" t="s">
        <v>56</v>
      </c>
      <c r="L29" s="16" t="s">
        <v>56</v>
      </c>
      <c r="M29" s="16" t="s">
        <v>56</v>
      </c>
      <c r="N29" s="16" t="s">
        <v>56</v>
      </c>
      <c r="O29" s="16" t="s">
        <v>56</v>
      </c>
      <c r="P29" s="16" t="s">
        <v>56</v>
      </c>
      <c r="U29" s="16" t="s">
        <v>119</v>
      </c>
    </row>
    <row r="30" spans="6:38" x14ac:dyDescent="0.25">
      <c r="F30" s="16" t="s">
        <v>57</v>
      </c>
      <c r="G30" s="16" t="s">
        <v>57</v>
      </c>
      <c r="H30" s="16" t="s">
        <v>57</v>
      </c>
      <c r="I30" s="16" t="s">
        <v>57</v>
      </c>
      <c r="J30" s="16" t="s">
        <v>57</v>
      </c>
      <c r="K30" s="16" t="s">
        <v>57</v>
      </c>
      <c r="L30" s="16" t="s">
        <v>57</v>
      </c>
      <c r="M30" s="16" t="s">
        <v>57</v>
      </c>
      <c r="N30" s="16" t="s">
        <v>57</v>
      </c>
      <c r="O30" s="16" t="s">
        <v>57</v>
      </c>
      <c r="P30" s="16" t="s">
        <v>57</v>
      </c>
      <c r="U30" s="16" t="s">
        <v>120</v>
      </c>
    </row>
    <row r="31" spans="6:38" x14ac:dyDescent="0.25">
      <c r="F31" s="16" t="s">
        <v>58</v>
      </c>
      <c r="G31" s="16" t="s">
        <v>58</v>
      </c>
      <c r="H31" s="16" t="s">
        <v>58</v>
      </c>
      <c r="I31" s="16" t="s">
        <v>58</v>
      </c>
      <c r="J31" s="16" t="s">
        <v>58</v>
      </c>
      <c r="K31" s="16" t="s">
        <v>58</v>
      </c>
      <c r="L31" s="16" t="s">
        <v>58</v>
      </c>
      <c r="M31" s="16" t="s">
        <v>58</v>
      </c>
      <c r="N31" s="16" t="s">
        <v>58</v>
      </c>
      <c r="O31" s="16" t="s">
        <v>58</v>
      </c>
      <c r="P31" s="16" t="s">
        <v>58</v>
      </c>
      <c r="U31" s="16"/>
    </row>
    <row r="32" spans="6:38" x14ac:dyDescent="0.25">
      <c r="F32" s="16" t="s">
        <v>59</v>
      </c>
      <c r="G32" s="16" t="s">
        <v>59</v>
      </c>
      <c r="H32" s="16" t="s">
        <v>59</v>
      </c>
      <c r="I32" s="16" t="s">
        <v>59</v>
      </c>
      <c r="J32" s="16" t="s">
        <v>59</v>
      </c>
      <c r="K32" s="16" t="s">
        <v>59</v>
      </c>
      <c r="L32" s="16" t="s">
        <v>59</v>
      </c>
      <c r="M32" s="16" t="s">
        <v>59</v>
      </c>
      <c r="N32" s="16" t="s">
        <v>59</v>
      </c>
      <c r="O32" s="16" t="s">
        <v>59</v>
      </c>
      <c r="P32" s="16" t="s">
        <v>59</v>
      </c>
      <c r="U32" s="16"/>
    </row>
    <row r="33" spans="6:21" x14ac:dyDescent="0.25">
      <c r="F33" s="16" t="s">
        <v>60</v>
      </c>
      <c r="G33" s="16" t="s">
        <v>60</v>
      </c>
      <c r="H33" s="16" t="s">
        <v>60</v>
      </c>
      <c r="I33" s="16" t="s">
        <v>60</v>
      </c>
      <c r="J33" s="16" t="s">
        <v>60</v>
      </c>
      <c r="K33" s="16" t="s">
        <v>60</v>
      </c>
      <c r="L33" s="16" t="s">
        <v>60</v>
      </c>
      <c r="M33" s="16" t="s">
        <v>60</v>
      </c>
      <c r="N33" s="16" t="s">
        <v>60</v>
      </c>
      <c r="O33" s="16" t="s">
        <v>60</v>
      </c>
      <c r="P33" s="16" t="s">
        <v>60</v>
      </c>
      <c r="U33" s="16"/>
    </row>
    <row r="34" spans="6:21" x14ac:dyDescent="0.25">
      <c r="F34" s="16" t="s">
        <v>61</v>
      </c>
      <c r="G34" s="16" t="s">
        <v>61</v>
      </c>
      <c r="H34" s="16" t="s">
        <v>61</v>
      </c>
      <c r="I34" s="16" t="s">
        <v>61</v>
      </c>
      <c r="J34" s="16" t="s">
        <v>61</v>
      </c>
      <c r="K34" s="16" t="s">
        <v>61</v>
      </c>
      <c r="L34" s="16" t="s">
        <v>61</v>
      </c>
      <c r="M34" s="16" t="s">
        <v>61</v>
      </c>
      <c r="N34" s="16" t="s">
        <v>61</v>
      </c>
      <c r="O34" s="16" t="s">
        <v>61</v>
      </c>
      <c r="P34" s="16" t="s">
        <v>61</v>
      </c>
      <c r="U34" s="16"/>
    </row>
    <row r="35" spans="6:21" x14ac:dyDescent="0.25">
      <c r="F35" s="16" t="s">
        <v>62</v>
      </c>
      <c r="G35" s="16" t="s">
        <v>62</v>
      </c>
      <c r="H35" s="16" t="s">
        <v>62</v>
      </c>
      <c r="I35" s="16" t="s">
        <v>62</v>
      </c>
      <c r="J35" s="16" t="s">
        <v>62</v>
      </c>
      <c r="K35" s="16" t="s">
        <v>62</v>
      </c>
      <c r="L35" s="16" t="s">
        <v>62</v>
      </c>
      <c r="M35" s="16" t="s">
        <v>62</v>
      </c>
      <c r="N35" s="16" t="s">
        <v>62</v>
      </c>
      <c r="O35" s="16" t="s">
        <v>62</v>
      </c>
      <c r="P35" s="16" t="s">
        <v>62</v>
      </c>
      <c r="U35" s="16"/>
    </row>
    <row r="36" spans="6:21" x14ac:dyDescent="0.25">
      <c r="F36" s="16" t="s">
        <v>63</v>
      </c>
      <c r="G36" s="16" t="s">
        <v>63</v>
      </c>
      <c r="H36" s="16" t="s">
        <v>63</v>
      </c>
      <c r="I36" s="16" t="s">
        <v>63</v>
      </c>
      <c r="J36" s="16" t="s">
        <v>63</v>
      </c>
      <c r="K36" s="16" t="s">
        <v>63</v>
      </c>
      <c r="L36" s="16" t="s">
        <v>63</v>
      </c>
      <c r="M36" s="16" t="s">
        <v>67</v>
      </c>
      <c r="N36" s="16" t="s">
        <v>63</v>
      </c>
      <c r="O36" s="16" t="s">
        <v>63</v>
      </c>
      <c r="P36" s="16" t="s">
        <v>63</v>
      </c>
      <c r="U36" s="16"/>
    </row>
    <row r="37" spans="6:21" x14ac:dyDescent="0.25">
      <c r="F37" s="16" t="s">
        <v>64</v>
      </c>
      <c r="G37" s="16" t="s">
        <v>64</v>
      </c>
      <c r="H37" s="16" t="s">
        <v>64</v>
      </c>
      <c r="I37" s="16" t="s">
        <v>66</v>
      </c>
      <c r="J37" s="16" t="s">
        <v>66</v>
      </c>
      <c r="K37" s="16" t="s">
        <v>66</v>
      </c>
      <c r="L37" s="16" t="s">
        <v>66</v>
      </c>
      <c r="M37" s="16" t="s">
        <v>69</v>
      </c>
      <c r="N37" s="16" t="s">
        <v>67</v>
      </c>
      <c r="O37" s="16" t="s">
        <v>67</v>
      </c>
      <c r="P37" s="16" t="s">
        <v>66</v>
      </c>
      <c r="U37" s="16"/>
    </row>
    <row r="38" spans="6:21" x14ac:dyDescent="0.25">
      <c r="F38" s="16" t="s">
        <v>65</v>
      </c>
      <c r="G38" s="16" t="s">
        <v>65</v>
      </c>
      <c r="H38" s="16" t="s">
        <v>65</v>
      </c>
      <c r="I38" s="16" t="s">
        <v>67</v>
      </c>
      <c r="J38" s="16" t="s">
        <v>67</v>
      </c>
      <c r="K38" s="16" t="s">
        <v>67</v>
      </c>
      <c r="L38" s="16" t="s">
        <v>67</v>
      </c>
      <c r="M38" s="16" t="s">
        <v>70</v>
      </c>
      <c r="N38" s="16" t="s">
        <v>69</v>
      </c>
      <c r="O38" s="16" t="s">
        <v>69</v>
      </c>
      <c r="P38" s="16" t="s">
        <v>67</v>
      </c>
      <c r="U38" s="16"/>
    </row>
    <row r="39" spans="6:21" x14ac:dyDescent="0.25">
      <c r="F39" s="16" t="s">
        <v>66</v>
      </c>
      <c r="G39" s="16" t="s">
        <v>66</v>
      </c>
      <c r="H39" s="16" t="s">
        <v>66</v>
      </c>
      <c r="I39" s="16" t="s">
        <v>69</v>
      </c>
      <c r="J39" s="16" t="s">
        <v>68</v>
      </c>
      <c r="K39" s="16" t="s">
        <v>68</v>
      </c>
      <c r="L39" s="16" t="s">
        <v>68</v>
      </c>
      <c r="M39" s="16" t="s">
        <v>71</v>
      </c>
      <c r="N39" s="16" t="s">
        <v>70</v>
      </c>
      <c r="O39" s="16" t="s">
        <v>70</v>
      </c>
      <c r="P39" s="16" t="s">
        <v>68</v>
      </c>
      <c r="U39" s="16"/>
    </row>
    <row r="40" spans="6:21" x14ac:dyDescent="0.25">
      <c r="F40" s="16" t="s">
        <v>67</v>
      </c>
      <c r="G40" s="16" t="s">
        <v>67</v>
      </c>
      <c r="H40" s="16" t="s">
        <v>67</v>
      </c>
      <c r="I40" s="16" t="s">
        <v>70</v>
      </c>
      <c r="J40" s="16" t="s">
        <v>69</v>
      </c>
      <c r="K40" s="16" t="s">
        <v>69</v>
      </c>
      <c r="L40" s="16" t="s">
        <v>69</v>
      </c>
      <c r="M40" s="16" t="s">
        <v>77</v>
      </c>
      <c r="N40" s="16" t="s">
        <v>71</v>
      </c>
      <c r="O40" s="16" t="s">
        <v>71</v>
      </c>
      <c r="P40" s="16" t="s">
        <v>69</v>
      </c>
      <c r="U40" s="16"/>
    </row>
    <row r="41" spans="6:21" x14ac:dyDescent="0.25">
      <c r="F41" s="16" t="s">
        <v>68</v>
      </c>
      <c r="G41" s="16" t="s">
        <v>68</v>
      </c>
      <c r="H41" s="16" t="s">
        <v>68</v>
      </c>
      <c r="I41" s="16" t="s">
        <v>71</v>
      </c>
      <c r="J41" s="16" t="s">
        <v>70</v>
      </c>
      <c r="K41" s="16" t="s">
        <v>70</v>
      </c>
      <c r="L41" s="16" t="s">
        <v>70</v>
      </c>
      <c r="M41" s="16" t="s">
        <v>73</v>
      </c>
      <c r="N41" s="16" t="s">
        <v>77</v>
      </c>
      <c r="O41" s="16" t="s">
        <v>77</v>
      </c>
      <c r="P41" s="16" t="s">
        <v>70</v>
      </c>
      <c r="U41" s="16"/>
    </row>
    <row r="42" spans="6:21" x14ac:dyDescent="0.25">
      <c r="F42" s="16" t="s">
        <v>69</v>
      </c>
      <c r="G42" s="16" t="s">
        <v>69</v>
      </c>
      <c r="H42" s="16" t="s">
        <v>69</v>
      </c>
      <c r="I42" s="16" t="s">
        <v>72</v>
      </c>
      <c r="J42" s="16" t="s">
        <v>71</v>
      </c>
      <c r="K42" s="16" t="s">
        <v>71</v>
      </c>
      <c r="L42" s="16" t="s">
        <v>71</v>
      </c>
      <c r="M42" s="16" t="s">
        <v>74</v>
      </c>
      <c r="N42" s="16" t="s">
        <v>73</v>
      </c>
      <c r="O42" s="16" t="s">
        <v>73</v>
      </c>
      <c r="P42" s="16" t="s">
        <v>71</v>
      </c>
      <c r="U42" s="16"/>
    </row>
    <row r="43" spans="6:21" x14ac:dyDescent="0.25">
      <c r="F43" s="16" t="s">
        <v>70</v>
      </c>
      <c r="G43" s="16" t="s">
        <v>70</v>
      </c>
      <c r="H43" s="16" t="s">
        <v>70</v>
      </c>
      <c r="I43" s="16" t="s">
        <v>77</v>
      </c>
      <c r="J43" s="16" t="s">
        <v>72</v>
      </c>
      <c r="K43" s="16" t="s">
        <v>72</v>
      </c>
      <c r="L43" s="16" t="s">
        <v>72</v>
      </c>
      <c r="M43" s="16" t="s">
        <v>75</v>
      </c>
      <c r="N43" s="16" t="s">
        <v>74</v>
      </c>
      <c r="O43" s="16" t="s">
        <v>74</v>
      </c>
      <c r="P43" s="16" t="s">
        <v>72</v>
      </c>
      <c r="U43" s="16"/>
    </row>
    <row r="44" spans="6:21" x14ac:dyDescent="0.25">
      <c r="F44" s="16" t="s">
        <v>71</v>
      </c>
      <c r="G44" s="16" t="s">
        <v>71</v>
      </c>
      <c r="H44" s="16" t="s">
        <v>71</v>
      </c>
      <c r="I44" s="16" t="s">
        <v>73</v>
      </c>
      <c r="J44" s="16" t="s">
        <v>77</v>
      </c>
      <c r="K44" s="16" t="s">
        <v>77</v>
      </c>
      <c r="L44" s="16" t="s">
        <v>77</v>
      </c>
      <c r="N44" s="16"/>
      <c r="O44" s="16"/>
      <c r="P44" s="16" t="s">
        <v>77</v>
      </c>
      <c r="U44" s="16"/>
    </row>
    <row r="45" spans="6:21" x14ac:dyDescent="0.25">
      <c r="F45" s="16" t="s">
        <v>72</v>
      </c>
      <c r="G45" s="16" t="s">
        <v>72</v>
      </c>
      <c r="H45" s="16" t="s">
        <v>72</v>
      </c>
      <c r="I45" s="16" t="s">
        <v>74</v>
      </c>
      <c r="J45" s="15" t="s">
        <v>76</v>
      </c>
      <c r="K45" s="15" t="s">
        <v>76</v>
      </c>
      <c r="L45" s="15" t="s">
        <v>76</v>
      </c>
      <c r="P45" s="15" t="s">
        <v>76</v>
      </c>
      <c r="U45" s="16"/>
    </row>
    <row r="46" spans="6:21" x14ac:dyDescent="0.25">
      <c r="F46" s="16" t="s">
        <v>73</v>
      </c>
      <c r="G46" s="15" t="s">
        <v>76</v>
      </c>
      <c r="H46" s="15" t="s">
        <v>76</v>
      </c>
      <c r="I46" s="16" t="s">
        <v>75</v>
      </c>
      <c r="J46" s="16" t="s">
        <v>73</v>
      </c>
      <c r="K46" s="16" t="s">
        <v>73</v>
      </c>
      <c r="L46" s="16" t="s">
        <v>73</v>
      </c>
      <c r="P46" s="16" t="s">
        <v>73</v>
      </c>
      <c r="U46" s="16"/>
    </row>
    <row r="47" spans="6:21" x14ac:dyDescent="0.25">
      <c r="F47" s="16" t="s">
        <v>74</v>
      </c>
      <c r="G47" s="16" t="s">
        <v>73</v>
      </c>
      <c r="H47" s="16" t="s">
        <v>73</v>
      </c>
      <c r="J47" s="16" t="s">
        <v>74</v>
      </c>
      <c r="K47" s="16" t="s">
        <v>74</v>
      </c>
      <c r="L47" s="16" t="s">
        <v>74</v>
      </c>
      <c r="P47" s="16" t="s">
        <v>74</v>
      </c>
      <c r="U47" s="16"/>
    </row>
    <row r="48" spans="6:21" x14ac:dyDescent="0.25">
      <c r="F48" s="16" t="s">
        <v>75</v>
      </c>
      <c r="G48" s="16" t="s">
        <v>74</v>
      </c>
      <c r="H48" s="16" t="s">
        <v>74</v>
      </c>
      <c r="J48" s="16"/>
      <c r="K48" s="16"/>
      <c r="L48" s="16" t="s">
        <v>75</v>
      </c>
      <c r="P48" s="16" t="s">
        <v>75</v>
      </c>
      <c r="U48" s="16"/>
    </row>
    <row r="49" spans="8:8" x14ac:dyDescent="0.25">
      <c r="H49" s="16" t="s">
        <v>75</v>
      </c>
    </row>
  </sheetData>
  <sheetProtection algorithmName="SHA-512" hashValue="XH0hEvlRbgKPg9NEkPfIEXKn7U1M73lh5N1KHjtvKZgnSqZNWxtmUaOkARG8Cw+z7DriD11RuwLFzwH4+9CeNA==" saltValue="erMhjT9+kllueTvSRUpSJw==" spinCount="100000" sheet="1" objects="1" scenarios="1"/>
  <sortState ref="AT3:AT6">
    <sortCondition descending="1" ref="AT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43</vt:i4>
      </vt:variant>
    </vt:vector>
  </HeadingPairs>
  <TitlesOfParts>
    <vt:vector size="44" baseType="lpstr">
      <vt:lpstr>Formularz RN</vt:lpstr>
      <vt:lpstr>kątownikwewnętrzny</vt:lpstr>
      <vt:lpstr>KĄTOWNIKZEWNĘTRZNY</vt:lpstr>
      <vt:lpstr>KOLORYSTYKA_PANCERZY</vt:lpstr>
      <vt:lpstr>LISTWA_DOLNA</vt:lpstr>
      <vt:lpstr>MARKASILNIKAELEKTRYCZNEGO</vt:lpstr>
      <vt:lpstr>MOSKITIERA</vt:lpstr>
      <vt:lpstr>PAKOWANIEROLET</vt:lpstr>
      <vt:lpstr>PODCIĘCIEPROWADNICY</vt:lpstr>
      <vt:lpstr>REWIZJA</vt:lpstr>
      <vt:lpstr>RNKB_1</vt:lpstr>
      <vt:lpstr>RNKB_2</vt:lpstr>
      <vt:lpstr>RNKB_3</vt:lpstr>
      <vt:lpstr>RNKB_4</vt:lpstr>
      <vt:lpstr>RNKBLAMELE</vt:lpstr>
      <vt:lpstr>RNKBSKRZYNKA</vt:lpstr>
      <vt:lpstr>RNKE_1</vt:lpstr>
      <vt:lpstr>RNKE_2</vt:lpstr>
      <vt:lpstr>RNKE_3</vt:lpstr>
      <vt:lpstr>RNKE_4</vt:lpstr>
      <vt:lpstr>RNKELAMELE</vt:lpstr>
      <vt:lpstr>RNKESKRZYNKA</vt:lpstr>
      <vt:lpstr>RNKXT_1</vt:lpstr>
      <vt:lpstr>RNKXT_2</vt:lpstr>
      <vt:lpstr>RNKXT_3</vt:lpstr>
      <vt:lpstr>RNKXT_4</vt:lpstr>
      <vt:lpstr>RNKXTLAMELE</vt:lpstr>
      <vt:lpstr>RNKXTSKRZYNKA</vt:lpstr>
      <vt:lpstr>RNS_1</vt:lpstr>
      <vt:lpstr>RNS_2</vt:lpstr>
      <vt:lpstr>RNS_4</vt:lpstr>
      <vt:lpstr>RNSLAMELE</vt:lpstr>
      <vt:lpstr>RNSSKRZYNKA</vt:lpstr>
      <vt:lpstr>rodzaj</vt:lpstr>
      <vt:lpstr>RURA</vt:lpstr>
      <vt:lpstr>STEROWANIEELEKTRYCZNE</vt:lpstr>
      <vt:lpstr>STEROWANIENAPĘDU</vt:lpstr>
      <vt:lpstr>STEROWANIERĘCZNE</vt:lpstr>
      <vt:lpstr>system</vt:lpstr>
      <vt:lpstr>SYSTEMYOKIENNE</vt:lpstr>
      <vt:lpstr>WYSOKOŚĆ</vt:lpstr>
      <vt:lpstr>zabezpieczenieprzedpodniesieniem</vt:lpstr>
      <vt:lpstr>ZAŚLEPKIPROWADNICY</vt:lpstr>
      <vt:lpstr>zestawrolet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Szymanski, Leszek</dc:creator>
  <cp:lastModifiedBy>Szymanski, Leszek</cp:lastModifiedBy>
  <cp:lastPrinted>2019-02-03T17:41:27Z</cp:lastPrinted>
  <dcterms:created xsi:type="dcterms:W3CDTF">2017-04-23T14:59:27Z</dcterms:created>
  <dcterms:modified xsi:type="dcterms:W3CDTF">2019-03-04T19:25:30Z</dcterms:modified>
</cp:coreProperties>
</file>